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8.xml" ContentType="application/vnd.openxmlformats-officedocument.spreadsheetml.pivotTable+xml"/>
  <Override PartName="/xl/pivotTables/pivotTable4.xml" ContentType="application/vnd.openxmlformats-officedocument.spreadsheetml.pivotTable+xml"/>
  <Override PartName="/xl/pivotTables/pivotTable1.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65461" windowWidth="1980" windowHeight="13740" tabRatio="667" activeTab="0"/>
  </bookViews>
  <sheets>
    <sheet name="Read Me First" sheetId="1" r:id="rId1"/>
    <sheet name="A - Governance 2014" sheetId="2" r:id="rId2"/>
    <sheet name="B - Budget 2014" sheetId="3" r:id="rId3"/>
    <sheet name="Budget Data-2014" sheetId="4" state="hidden" r:id="rId4"/>
    <sheet name="C - Membership 2014" sheetId="5" r:id="rId5"/>
    <sheet name="Membership Data 2014" sheetId="6" state="hidden" r:id="rId6"/>
    <sheet name="D - Online Presence" sheetId="7" r:id="rId7"/>
    <sheet name="E - Programs &amp; Activities 2014" sheetId="8" r:id="rId8"/>
    <sheet name="F - Future 2014" sheetId="9" r:id="rId9"/>
    <sheet name="Anonymous Pay Data" sheetId="10" state="hidden" r:id="rId10"/>
    <sheet name="Original Labeled without Comp" sheetId="11" state="hidden" r:id="rId11"/>
  </sheets>
  <definedNames>
    <definedName name="_xlnm.Print_Area" localSheetId="1">'A - Governance 2014'!$A$1:$D$344</definedName>
    <definedName name="_xlnm.Print_Area" localSheetId="4">'C - Membership 2014'!$A$1:$G$561</definedName>
    <definedName name="_xlnm.Print_Area" localSheetId="6">'D - Online Presence'!$A$1:$D$10</definedName>
    <definedName name="_xlnm.Print_Area" localSheetId="7">'E - Programs &amp; Activities 2014'!$A$1:$D$602</definedName>
    <definedName name="_xlnm.Print_Titles" localSheetId="1">'A - Governance 2014'!$1:$9</definedName>
    <definedName name="_xlnm.Print_Titles" localSheetId="4">'C - Membership 2014'!$1:$9</definedName>
    <definedName name="_xlnm.Print_Titles" localSheetId="6">'D - Online Presence'!$1:$10</definedName>
    <definedName name="_xlnm.Print_Titles" localSheetId="7">'E - Programs &amp; Activities 2014'!$1:$9</definedName>
    <definedName name="_xlnm.Print_Titles" localSheetId="8">'F - Future 2014'!$1:$8</definedName>
  </definedNames>
  <calcPr fullCalcOnLoad="1"/>
  <pivotCaches>
    <pivotCache cacheId="4" r:id="rId12"/>
    <pivotCache cacheId="3" r:id="rId13"/>
    <pivotCache cacheId="2" r:id="rId14"/>
    <pivotCache cacheId="1" r:id="rId15"/>
  </pivotCaches>
</workbook>
</file>

<file path=xl/comments10.xml><?xml version="1.0" encoding="utf-8"?>
<comments xmlns="http://schemas.openxmlformats.org/spreadsheetml/2006/main">
  <authors>
    <author>Ryan Hill</author>
  </authors>
  <commentList>
    <comment ref="J2" authorId="0">
      <text>
        <r>
          <rPr>
            <b/>
            <sz val="9"/>
            <rFont val="Tahoma"/>
            <family val="2"/>
          </rPr>
          <t>Ryan Hill:</t>
        </r>
        <r>
          <rPr>
            <sz val="9"/>
            <rFont val="Tahoma"/>
            <family val="2"/>
          </rPr>
          <t xml:space="preserve">
California, Oregon</t>
        </r>
      </text>
    </comment>
    <comment ref="G2" authorId="0">
      <text>
        <r>
          <rPr>
            <b/>
            <sz val="9"/>
            <rFont val="Tahoma"/>
            <family val="2"/>
          </rPr>
          <t>Ryan Hill:</t>
        </r>
        <r>
          <rPr>
            <sz val="9"/>
            <rFont val="Tahoma"/>
            <family val="2"/>
          </rPr>
          <t xml:space="preserve">
North Carolina, South Carolina, Georgia, Alabama, Mississippi, Tennessee, Louisiana, Florida, Arkansas, Texas
</t>
        </r>
      </text>
    </comment>
    <comment ref="D2" authorId="0">
      <text>
        <r>
          <rPr>
            <b/>
            <sz val="9"/>
            <rFont val="Tahoma"/>
            <family val="2"/>
          </rPr>
          <t>Ryan Hill:</t>
        </r>
        <r>
          <rPr>
            <sz val="9"/>
            <rFont val="Tahoma"/>
            <family val="2"/>
          </rPr>
          <t xml:space="preserve">
Michigan, Ohio, Indiana, Illinois, Missouri, Minnesota</t>
        </r>
      </text>
    </comment>
    <comment ref="A2" authorId="0">
      <text>
        <r>
          <rPr>
            <b/>
            <sz val="9"/>
            <rFont val="Tahoma"/>
            <family val="2"/>
          </rPr>
          <t>Ryan Hill:</t>
        </r>
        <r>
          <rPr>
            <sz val="9"/>
            <rFont val="Tahoma"/>
            <family val="2"/>
          </rPr>
          <t xml:space="preserve">
Pennsylvania, New York, Maryland, DC, Delaware, New Jersey, Conneticut, Massachusetts, Vermont, Rhode Island</t>
        </r>
      </text>
    </comment>
  </commentList>
</comments>
</file>

<file path=xl/comments11.xml><?xml version="1.0" encoding="utf-8"?>
<comments xmlns="http://schemas.openxmlformats.org/spreadsheetml/2006/main">
  <authors>
    <author>Ryan Hill</author>
  </authors>
  <commentList>
    <comment ref="Q17" authorId="0">
      <text>
        <r>
          <rPr>
            <b/>
            <sz val="9"/>
            <rFont val="Tahoma"/>
            <family val="2"/>
          </rPr>
          <t>Ryan Hill:</t>
        </r>
        <r>
          <rPr>
            <sz val="9"/>
            <rFont val="Tahoma"/>
            <family val="2"/>
          </rPr>
          <t xml:space="preserve">
1.4 million with all pass through funds - typically 600-700 w/out pass through</t>
        </r>
      </text>
    </comment>
    <comment ref="Q26" authorId="0">
      <text>
        <r>
          <rPr>
            <b/>
            <sz val="9"/>
            <rFont val="Tahoma"/>
            <family val="2"/>
          </rPr>
          <t>Ryan Hill:</t>
        </r>
        <r>
          <rPr>
            <sz val="9"/>
            <rFont val="Tahoma"/>
            <family val="2"/>
          </rPr>
          <t xml:space="preserve">
Mainly operating from operating reserves
50% of current budget</t>
        </r>
      </text>
    </comment>
    <comment ref="R33" authorId="0">
      <text>
        <r>
          <rPr>
            <b/>
            <sz val="9"/>
            <rFont val="Tahoma"/>
            <family val="2"/>
          </rPr>
          <t>Ryan Hill:</t>
        </r>
        <r>
          <rPr>
            <sz val="9"/>
            <rFont val="Tahoma"/>
            <family val="2"/>
          </rPr>
          <t xml:space="preserve">
Remainder is development funds - more than $200k</t>
        </r>
      </text>
    </comment>
    <comment ref="AG33" authorId="0">
      <text>
        <r>
          <rPr>
            <b/>
            <sz val="9"/>
            <rFont val="Tahoma"/>
            <family val="2"/>
          </rPr>
          <t>Ryan Hill:</t>
        </r>
        <r>
          <rPr>
            <sz val="9"/>
            <rFont val="Tahoma"/>
            <family val="2"/>
          </rPr>
          <t xml:space="preserve">
These 6 are the only ones focused housing in the whole coalition</t>
        </r>
      </text>
    </comment>
  </commentList>
</comments>
</file>

<file path=xl/comments2.xml><?xml version="1.0" encoding="utf-8"?>
<comments xmlns="http://schemas.openxmlformats.org/spreadsheetml/2006/main">
  <authors>
    <author>Ryan Hill</author>
  </authors>
  <commentList>
    <comment ref="D340" authorId="0">
      <text>
        <r>
          <rPr>
            <b/>
            <sz val="9"/>
            <rFont val="Tahoma"/>
            <family val="2"/>
          </rPr>
          <t>Ryan Hill:</t>
        </r>
        <r>
          <rPr>
            <sz val="9"/>
            <rFont val="Tahoma"/>
            <family val="2"/>
          </rPr>
          <t xml:space="preserve">
No turnover on the board yet because the organization was just formed in 2011</t>
        </r>
      </text>
    </comment>
  </commentList>
</comments>
</file>

<file path=xl/comments5.xml><?xml version="1.0" encoding="utf-8"?>
<comments xmlns="http://schemas.openxmlformats.org/spreadsheetml/2006/main">
  <authors>
    <author>Ryan Hill</author>
  </authors>
  <commentList>
    <comment ref="C165" authorId="0">
      <text>
        <r>
          <rPr>
            <b/>
            <sz val="9"/>
            <rFont val="Tahoma"/>
            <family val="2"/>
          </rPr>
          <t>Ryan Hill:</t>
        </r>
        <r>
          <rPr>
            <sz val="9"/>
            <rFont val="Tahoma"/>
            <family val="2"/>
          </rPr>
          <t xml:space="preserve">
the 2011 survey included government as a separate category, while 2014 did not.</t>
        </r>
      </text>
    </comment>
    <comment ref="C212" authorId="0">
      <text>
        <r>
          <rPr>
            <b/>
            <sz val="9"/>
            <rFont val="Tahoma"/>
            <family val="2"/>
          </rPr>
          <t>Ryan Hill:</t>
        </r>
        <r>
          <rPr>
            <sz val="9"/>
            <rFont val="Tahoma"/>
            <family val="2"/>
          </rPr>
          <t xml:space="preserve">
the 2011 survey included non-housing as a separate category, while 2014 did not.</t>
        </r>
      </text>
    </comment>
  </commentList>
</comments>
</file>

<file path=xl/comments8.xml><?xml version="1.0" encoding="utf-8"?>
<comments xmlns="http://schemas.openxmlformats.org/spreadsheetml/2006/main">
  <authors>
    <author>Ryan Hill</author>
  </authors>
  <commentList>
    <comment ref="D122" authorId="0">
      <text>
        <r>
          <rPr>
            <b/>
            <sz val="9"/>
            <rFont val="Tahoma"/>
            <family val="2"/>
          </rPr>
          <t>Ryan Hill:</t>
        </r>
        <r>
          <rPr>
            <sz val="9"/>
            <rFont val="Tahoma"/>
            <family val="2"/>
          </rPr>
          <t xml:space="preserve">
Have lobbyist on staff</t>
        </r>
      </text>
    </comment>
  </commentList>
</comments>
</file>

<file path=xl/comments9.xml><?xml version="1.0" encoding="utf-8"?>
<comments xmlns="http://schemas.openxmlformats.org/spreadsheetml/2006/main">
  <authors>
    <author>Ryan Hill</author>
    <author>NACEDA</author>
  </authors>
  <commentList>
    <comment ref="D50" authorId="0">
      <text>
        <r>
          <rPr>
            <b/>
            <sz val="9"/>
            <rFont val="Tahoma"/>
            <family val="2"/>
          </rPr>
          <t>Ryan Hill:</t>
        </r>
        <r>
          <rPr>
            <sz val="9"/>
            <rFont val="Tahoma"/>
            <family val="2"/>
          </rPr>
          <t xml:space="preserve">
Mixed or not sure response mean the percentages will not add to 100%.</t>
        </r>
      </text>
    </comment>
    <comment ref="D182" authorId="0">
      <text>
        <r>
          <rPr>
            <b/>
            <sz val="9"/>
            <rFont val="Tahoma"/>
            <family val="2"/>
          </rPr>
          <t>Ryan Hill:</t>
        </r>
        <r>
          <rPr>
            <sz val="9"/>
            <rFont val="Tahoma"/>
            <family val="2"/>
          </rPr>
          <t xml:space="preserve">
Percentages do not add up to 100% due to don't know and not sure responses.</t>
        </r>
      </text>
    </comment>
    <comment ref="E225" authorId="0">
      <text>
        <r>
          <rPr>
            <b/>
            <sz val="9"/>
            <rFont val="Tahoma"/>
            <family val="2"/>
          </rPr>
          <t xml:space="preserve">Ryan Hill:
</t>
        </r>
        <r>
          <rPr>
            <sz val="9"/>
            <rFont val="Tahoma"/>
            <family val="2"/>
          </rPr>
          <t>This category did not exist in the 2011 survey.</t>
        </r>
      </text>
    </comment>
    <comment ref="C226" authorId="0">
      <text>
        <r>
          <rPr>
            <b/>
            <sz val="9"/>
            <rFont val="Tahoma"/>
            <family val="2"/>
          </rPr>
          <t>Ryan Hill:</t>
        </r>
        <r>
          <rPr>
            <sz val="9"/>
            <rFont val="Tahoma"/>
            <family val="2"/>
          </rPr>
          <t xml:space="preserve">
Percentages do not add to 100% due to the category "unsure" being used in 2011.</t>
        </r>
      </text>
    </comment>
    <comment ref="E270" authorId="0">
      <text>
        <r>
          <rPr>
            <b/>
            <sz val="9"/>
            <rFont val="Tahoma"/>
            <family val="2"/>
          </rPr>
          <t xml:space="preserve">Ryan Hill:
</t>
        </r>
        <r>
          <rPr>
            <sz val="9"/>
            <rFont val="Tahoma"/>
            <family val="2"/>
          </rPr>
          <t>This category did not exist in the 2011 survey.</t>
        </r>
      </text>
    </comment>
    <comment ref="C271" authorId="0">
      <text>
        <r>
          <rPr>
            <b/>
            <sz val="9"/>
            <rFont val="Tahoma"/>
            <family val="2"/>
          </rPr>
          <t>Ryan Hill:</t>
        </r>
        <r>
          <rPr>
            <sz val="9"/>
            <rFont val="Tahoma"/>
            <family val="2"/>
          </rPr>
          <t xml:space="preserve">
Percentages do not add to 100% due to the category "unsure" being used in 2011.</t>
        </r>
      </text>
    </comment>
    <comment ref="B42" authorId="0">
      <text>
        <r>
          <rPr>
            <b/>
            <sz val="9"/>
            <rFont val="Tahoma"/>
            <family val="2"/>
          </rPr>
          <t>Ryan Hill:</t>
        </r>
        <r>
          <rPr>
            <sz val="9"/>
            <rFont val="Tahoma"/>
            <family val="2"/>
          </rPr>
          <t xml:space="preserve">
Percentages do not add to 100% due to "mixed" and "not sure" answers.
</t>
        </r>
      </text>
    </comment>
    <comment ref="B86" authorId="0">
      <text>
        <r>
          <rPr>
            <b/>
            <sz val="9"/>
            <rFont val="Tahoma"/>
            <family val="2"/>
          </rPr>
          <t>Ryan Hill:</t>
        </r>
        <r>
          <rPr>
            <sz val="9"/>
            <rFont val="Tahoma"/>
            <family val="2"/>
          </rPr>
          <t xml:space="preserve">
Percentages do not add to 100% due to "mixed" and "don't know" answers.
</t>
        </r>
      </text>
    </comment>
    <comment ref="B174" authorId="0">
      <text>
        <r>
          <rPr>
            <b/>
            <sz val="9"/>
            <rFont val="Tahoma"/>
            <family val="2"/>
          </rPr>
          <t>Ryan Hill:</t>
        </r>
        <r>
          <rPr>
            <sz val="9"/>
            <rFont val="Tahoma"/>
            <family val="2"/>
          </rPr>
          <t xml:space="preserve">
Percentages do not add to 100% due to "don't know" and "not sure" answers.</t>
        </r>
      </text>
    </comment>
    <comment ref="C104" authorId="1">
      <text>
        <r>
          <rPr>
            <b/>
            <sz val="9"/>
            <rFont val="Tahoma"/>
            <family val="2"/>
          </rPr>
          <t>NACEDA:</t>
        </r>
        <r>
          <rPr>
            <sz val="9"/>
            <rFont val="Tahoma"/>
            <family val="2"/>
          </rPr>
          <t xml:space="preserve">
Unsure. Needs follow up
</t>
        </r>
      </text>
    </comment>
  </commentList>
</comments>
</file>

<file path=xl/sharedStrings.xml><?xml version="1.0" encoding="utf-8"?>
<sst xmlns="http://schemas.openxmlformats.org/spreadsheetml/2006/main" count="8680" uniqueCount="1728">
  <si>
    <t>Blogs, videos, etc.</t>
  </si>
  <si>
    <t>General FYI's</t>
  </si>
  <si>
    <t>New research, surveys</t>
  </si>
  <si>
    <t>Training or    technical assitance</t>
  </si>
  <si>
    <r>
      <t xml:space="preserve">From 2011 to 2014, the percentage of NACEDA members whose boards meet primarily in person decreased by </t>
    </r>
    <r>
      <rPr>
        <b/>
        <sz val="10"/>
        <rFont val="Verdana"/>
        <family val="0"/>
      </rPr>
      <t>15%</t>
    </r>
    <r>
      <rPr>
        <sz val="10"/>
        <rFont val="Verdana"/>
        <family val="0"/>
      </rPr>
      <t>.</t>
    </r>
  </si>
  <si>
    <r>
      <t xml:space="preserve">From 2011 to 2014, the percentage of NACEDA members whose boards meet primarily by conference call increased by </t>
    </r>
    <r>
      <rPr>
        <b/>
        <sz val="10"/>
        <rFont val="Verdana"/>
        <family val="0"/>
      </rPr>
      <t>2%</t>
    </r>
    <r>
      <rPr>
        <sz val="10"/>
        <rFont val="Verdana"/>
        <family val="0"/>
      </rPr>
      <t>.</t>
    </r>
  </si>
  <si>
    <r>
      <t xml:space="preserve">From 2011 to 2014, the percentage of NACEDA members whose boards meet equally in person and by phone inceased by </t>
    </r>
    <r>
      <rPr>
        <b/>
        <sz val="10"/>
        <rFont val="Verdana"/>
        <family val="0"/>
      </rPr>
      <t>13%</t>
    </r>
    <r>
      <rPr>
        <sz val="10"/>
        <rFont val="Verdana"/>
        <family val="0"/>
      </rPr>
      <t>.</t>
    </r>
  </si>
  <si>
    <t>Number of Members</t>
  </si>
  <si>
    <t>Year Founded</t>
  </si>
  <si>
    <t>BUDGETS IN DOLLARS</t>
  </si>
  <si>
    <t>BUDGETS IN PERCENTAGES</t>
  </si>
  <si>
    <t xml:space="preserve">Please complete the following sentence. "In my opinion, the frequency with which my members convene in person is: </t>
  </si>
  <si>
    <t>On average, how many times per month do you broadcast a communication to your entire membership?</t>
  </si>
  <si>
    <t xml:space="preserve">Which of the following factors are used in determining membership dues for your organization? </t>
  </si>
  <si>
    <t>What is the highest amount you charge for membership?</t>
  </si>
  <si>
    <t>What is the lowest amount you charge for membership?</t>
  </si>
  <si>
    <t>What benefits do you offer to your members?</t>
  </si>
  <si>
    <t>Describe Member Benefits</t>
  </si>
  <si>
    <t>Does your organization do policy advocacy?</t>
  </si>
  <si>
    <t xml:space="preserve">Does your organization do advocacy or civic engagement training for your members? </t>
  </si>
  <si>
    <t>Does your organization pay for professional lobbying services?</t>
  </si>
  <si>
    <t xml:space="preserve">Is your organization actively engaged with other local, statewide, or national coalitions? </t>
  </si>
  <si>
    <t>Does your organization provide training or professional development opportunities to your members?</t>
  </si>
  <si>
    <t>No change in the average age of NACEDA's members.</t>
  </si>
  <si>
    <r>
      <t>From 2011 to 2014, the average number of board members for each NACEDA member has decreased by</t>
    </r>
    <r>
      <rPr>
        <b/>
        <sz val="10"/>
        <rFont val="Verdana"/>
        <family val="0"/>
      </rPr>
      <t xml:space="preserve"> 7%.</t>
    </r>
  </si>
  <si>
    <r>
      <t xml:space="preserve">From 2011 to 2014 the percentage of NACEDA members with no term limits for its board decreased by </t>
    </r>
    <r>
      <rPr>
        <b/>
        <sz val="10"/>
        <rFont val="Verdana"/>
        <family val="0"/>
      </rPr>
      <t>6%</t>
    </r>
    <r>
      <rPr>
        <sz val="10"/>
        <rFont val="Verdana"/>
        <family val="0"/>
      </rPr>
      <t>.</t>
    </r>
  </si>
  <si>
    <r>
      <t xml:space="preserve">From 2011 to 2014 the percentage of NACEDA members limiting its board members to 3 terms increased by </t>
    </r>
    <r>
      <rPr>
        <b/>
        <sz val="10"/>
        <rFont val="Verdana"/>
        <family val="0"/>
      </rPr>
      <t>4%</t>
    </r>
    <r>
      <rPr>
        <sz val="10"/>
        <rFont val="Verdana"/>
        <family val="0"/>
      </rPr>
      <t>.</t>
    </r>
  </si>
  <si>
    <r>
      <t>From 2011 to 2014 the percentage of NACEDA members whose board's meet once a month decreased by</t>
    </r>
    <r>
      <rPr>
        <b/>
        <sz val="10"/>
        <rFont val="Verdana"/>
        <family val="0"/>
      </rPr>
      <t xml:space="preserve"> 9%</t>
    </r>
    <r>
      <rPr>
        <sz val="10"/>
        <rFont val="Verdana"/>
        <family val="0"/>
      </rPr>
      <t>.</t>
    </r>
  </si>
  <si>
    <r>
      <t xml:space="preserve">From 2011 to 2014 the percentage of NACEDA members whose board's meet once every two months increased by </t>
    </r>
    <r>
      <rPr>
        <b/>
        <sz val="10"/>
        <rFont val="Verdana"/>
        <family val="0"/>
      </rPr>
      <t>20%</t>
    </r>
    <r>
      <rPr>
        <sz val="10"/>
        <rFont val="Verdana"/>
        <family val="0"/>
      </rPr>
      <t>.</t>
    </r>
  </si>
  <si>
    <t>Do you feel that the environment for community development at the national level is basically heading in the right direction, or do you feel things are pretty seriously off on the wrong track?</t>
  </si>
  <si>
    <t>Do you feel that the environment for affordable housing in your state or locality is basically heading in the right direction, or do you feel things are pretty seriously off on the wrong track?</t>
  </si>
  <si>
    <t>Do you feel that the environment for affordable housing at the national level is basically heading in the right direction, or do you feel things are pretty seriously off on the wrong track?</t>
  </si>
  <si>
    <t>Please complete the following sentence: "In my opinion, five years from now, my organization's overall mission and vision will be:</t>
  </si>
  <si>
    <t>Please complete the following sentence: "In my opinion, five years from now, my organization's day-to-day operations, staffing, and activities will be:</t>
  </si>
  <si>
    <t>Organization's name:</t>
  </si>
  <si>
    <t>In what year was your organization formed?</t>
  </si>
  <si>
    <t>How many board members currently serve on your board of directors?</t>
  </si>
  <si>
    <t>How long are the terms of board members?</t>
  </si>
  <si>
    <t>Are there limits on the number of terms a board member can serve? If so, how many?</t>
  </si>
  <si>
    <t xml:space="preserve">Are some seats on the board reserved for members who fit a certain profile? Please give examples and describe. </t>
  </si>
  <si>
    <t>How often does your board meet?</t>
  </si>
  <si>
    <t>Would you say your board usually meets by conference call or in person?</t>
  </si>
  <si>
    <t xml:space="preserve">Please complete the following sentence. "In my opinion, in recent years, the amount of turnover on my organization's board of directors has been: </t>
  </si>
  <si>
    <t xml:space="preserve">Please complete the following sentence. "In my opinion, in recent years ,the amount of  turnover on my organization's board of directors has been: </t>
  </si>
  <si>
    <r>
      <t xml:space="preserve">From 2011 to 2014 the percentage of NACEDA members whose board's meet once a quarter decreased by </t>
    </r>
    <r>
      <rPr>
        <b/>
        <sz val="10"/>
        <rFont val="Verdana"/>
        <family val="0"/>
      </rPr>
      <t>3%</t>
    </r>
    <r>
      <rPr>
        <sz val="10"/>
        <rFont val="Verdana"/>
        <family val="0"/>
      </rPr>
      <t>.</t>
    </r>
  </si>
  <si>
    <t>Can you please approximate, either in dollar amounts or percentages, how much of your current year’s funding comes from the following sources?</t>
  </si>
  <si>
    <t>How many members do you have currently?</t>
  </si>
  <si>
    <t xml:space="preserve">How many of your members are: </t>
  </si>
  <si>
    <t>How many of your non-profit members primarily do:</t>
  </si>
  <si>
    <t xml:space="preserve">How often do your members convene in person? </t>
  </si>
  <si>
    <t>Gov2</t>
  </si>
  <si>
    <t>Gov3</t>
  </si>
  <si>
    <t>Gov4</t>
  </si>
  <si>
    <t>Gov5</t>
  </si>
  <si>
    <t>Gov6</t>
  </si>
  <si>
    <t>Gov7</t>
  </si>
  <si>
    <t>Gov8</t>
  </si>
  <si>
    <t>Gov3note</t>
  </si>
  <si>
    <t>Bud1</t>
  </si>
  <si>
    <t>Bud2a</t>
  </si>
  <si>
    <t>Bud2b</t>
  </si>
  <si>
    <t>Bud2c</t>
  </si>
  <si>
    <t>Bud2d</t>
  </si>
  <si>
    <t>Bud2e</t>
  </si>
  <si>
    <t>Bud2f</t>
  </si>
  <si>
    <t>Mem1</t>
  </si>
  <si>
    <t>Mem2a</t>
  </si>
  <si>
    <t>Mem2b</t>
  </si>
  <si>
    <t>Mem3a</t>
  </si>
  <si>
    <t>Mem3b</t>
  </si>
  <si>
    <t>Mem3c</t>
  </si>
  <si>
    <t>Mem4a</t>
  </si>
  <si>
    <t>Mem4b</t>
  </si>
  <si>
    <t>Mem4c</t>
  </si>
  <si>
    <t>Mem5</t>
  </si>
  <si>
    <t>Mem6</t>
  </si>
  <si>
    <t>Mem7</t>
  </si>
  <si>
    <t>Mem8a</t>
  </si>
  <si>
    <t>Mem8b</t>
  </si>
  <si>
    <t>Mem8c</t>
  </si>
  <si>
    <t>Mem8d</t>
  </si>
  <si>
    <t>YearFounded</t>
  </si>
  <si>
    <t>BoardMemberCount</t>
  </si>
  <si>
    <t>BoardMemberTerms</t>
  </si>
  <si>
    <t>BoardTermsNote</t>
  </si>
  <si>
    <t>TermLimits</t>
  </si>
  <si>
    <t>BoardSeatRestrict</t>
  </si>
  <si>
    <t>BoardMtgFrequency</t>
  </si>
  <si>
    <t>BoardMtgMode</t>
  </si>
  <si>
    <t>BoardMtgFrequencyOpinion</t>
  </si>
  <si>
    <t>BudgetSize</t>
  </si>
  <si>
    <t>BudgetDues</t>
  </si>
  <si>
    <t>BudgetGovt</t>
  </si>
  <si>
    <t>BudgetFound</t>
  </si>
  <si>
    <t>BudgetBanks</t>
  </si>
  <si>
    <t>BudgetFundraise</t>
  </si>
  <si>
    <t>BudgetEarned</t>
  </si>
  <si>
    <t>MembersTotal</t>
  </si>
  <si>
    <t>MembersOrg</t>
  </si>
  <si>
    <t>MembersInd</t>
  </si>
  <si>
    <t>MembersNP</t>
  </si>
  <si>
    <t>Does your organization provide technical assistance to your members or to other entities?</t>
  </si>
  <si>
    <t>Other than your annual meeting, does your organization put together conferences for your members and partners?</t>
  </si>
  <si>
    <t>Does your organization produce original research for your members or for the general public?</t>
  </si>
  <si>
    <t>Is your organization directly involved in real estate development in a significant way?</t>
  </si>
  <si>
    <t>Is your organization directly involved in community lending?</t>
  </si>
  <si>
    <t xml:space="preserve">Does your organization manage pass-through grants or have a re-granting program? </t>
  </si>
  <si>
    <r>
      <t xml:space="preserve">From 2011 to 2014, the average term limit of each NACEDA member's board members </t>
    </r>
    <r>
      <rPr>
        <b/>
        <sz val="10"/>
        <rFont val="Verdana"/>
        <family val="0"/>
      </rPr>
      <t>did not change</t>
    </r>
    <r>
      <rPr>
        <sz val="10"/>
        <rFont val="Verdana"/>
        <family val="0"/>
      </rPr>
      <t>.</t>
    </r>
  </si>
  <si>
    <t xml:space="preserve">As a significant portion of your organization’s activities, does your organization manage volunteers or do volunteer placement? </t>
  </si>
  <si>
    <t>Does your organization act as a fiscal sponsor for other non-profits?</t>
  </si>
  <si>
    <r>
      <t xml:space="preserve">From 2011 to 2014 the percentage of NACEDA members limiting its board members to 2 terms increased by </t>
    </r>
    <r>
      <rPr>
        <b/>
        <sz val="10"/>
        <rFont val="Verdana"/>
        <family val="0"/>
      </rPr>
      <t>1%</t>
    </r>
    <r>
      <rPr>
        <sz val="10"/>
        <rFont val="Verdana"/>
        <family val="0"/>
      </rPr>
      <t>.</t>
    </r>
  </si>
  <si>
    <t>Do you feel that the environment for community development in your state or locality is basically heading in the right direction, or do you feel things are pretty seriously off on the wrong track?</t>
  </si>
  <si>
    <t>TrackCDNata</t>
  </si>
  <si>
    <t>TrackAHState</t>
  </si>
  <si>
    <t>TrackAHStatea</t>
  </si>
  <si>
    <t>TrackAHNat</t>
  </si>
  <si>
    <t>TrackAHNata</t>
  </si>
  <si>
    <t>5yrMission</t>
  </si>
  <si>
    <t>5yrOp</t>
  </si>
  <si>
    <t>5yrSize</t>
  </si>
  <si>
    <t>MI</t>
  </si>
  <si>
    <t>CT</t>
  </si>
  <si>
    <t>DE</t>
  </si>
  <si>
    <t>FL</t>
  </si>
  <si>
    <t>GA</t>
  </si>
  <si>
    <t>IL</t>
  </si>
  <si>
    <t>PA</t>
  </si>
  <si>
    <t>RI</t>
  </si>
  <si>
    <t>IN</t>
  </si>
  <si>
    <t>MA</t>
  </si>
  <si>
    <t>NC</t>
  </si>
  <si>
    <t>OH</t>
  </si>
  <si>
    <t>SC</t>
  </si>
  <si>
    <t>TX</t>
  </si>
  <si>
    <t>StateCDRightWrongNote</t>
  </si>
  <si>
    <t>NationalCDRightWrongNote</t>
  </si>
  <si>
    <t>StateAHRightWrongNote</t>
  </si>
  <si>
    <t>Data</t>
  </si>
  <si>
    <t>Label</t>
  </si>
  <si>
    <t>Indiana</t>
  </si>
  <si>
    <t>Arkansas</t>
  </si>
  <si>
    <t>Connecticut</t>
  </si>
  <si>
    <t>Delaware</t>
  </si>
  <si>
    <t>Florida</t>
  </si>
  <si>
    <t>Georgia</t>
  </si>
  <si>
    <t>New Jersey</t>
  </si>
  <si>
    <t>DC Metro</t>
  </si>
  <si>
    <t>Rhode Island</t>
  </si>
  <si>
    <t>Massachusetts</t>
  </si>
  <si>
    <t>Ohio</t>
  </si>
  <si>
    <t>Oregon</t>
  </si>
  <si>
    <t>South Carolina</t>
  </si>
  <si>
    <t>North Carolina</t>
  </si>
  <si>
    <t>Illinois</t>
  </si>
  <si>
    <t>Michigan</t>
  </si>
  <si>
    <t>Pennsylvania</t>
  </si>
  <si>
    <t>Texas</t>
  </si>
  <si>
    <t>Please complete the following sentence: "In my opinion, five years from now, my organization will be:</t>
  </si>
  <si>
    <t>Open-Ended Response</t>
  </si>
  <si>
    <t>Discounts</t>
  </si>
  <si>
    <t>Housing and Community Development Network of New Jersey</t>
  </si>
  <si>
    <t>In person</t>
  </si>
  <si>
    <t>Just right</t>
  </si>
  <si>
    <t>Yes</t>
  </si>
  <si>
    <t>No</t>
  </si>
  <si>
    <t>Somewhat different compared to now</t>
  </si>
  <si>
    <t>Not sure</t>
  </si>
  <si>
    <t>The same size</t>
  </si>
  <si>
    <t>Metropolitan Consortium of Community Developers</t>
  </si>
  <si>
    <t>Once a quarter</t>
  </si>
  <si>
    <t>Not enough</t>
  </si>
  <si>
    <t>Once every two months</t>
  </si>
  <si>
    <t>Too much</t>
  </si>
  <si>
    <t>Oregon Opportunity Network</t>
  </si>
  <si>
    <t>Once a month</t>
  </si>
  <si>
    <t>Right Direction</t>
  </si>
  <si>
    <t>Somewhat larger</t>
  </si>
  <si>
    <t>Housing Action Illinois</t>
  </si>
  <si>
    <t>Not at all different compared to now</t>
  </si>
  <si>
    <t>Very different compared to now</t>
  </si>
  <si>
    <t>Somewhat smaller</t>
  </si>
  <si>
    <t>Conference call</t>
  </si>
  <si>
    <t>Southern California Association of Non-profit Housing</t>
  </si>
  <si>
    <t>2 terms</t>
  </si>
  <si>
    <t>East Bay Housing Organizations</t>
  </si>
  <si>
    <t>What is the size of your current annual budget?</t>
  </si>
  <si>
    <t>Connecticut Housing Coalition</t>
  </si>
  <si>
    <t>Delaware Housing Coalition</t>
  </si>
  <si>
    <t>Ohio CDC Association</t>
  </si>
  <si>
    <t>Member</t>
  </si>
  <si>
    <t>No term limits</t>
  </si>
  <si>
    <t>NJ</t>
  </si>
  <si>
    <t>Gov1</t>
  </si>
  <si>
    <t>Government</t>
  </si>
  <si>
    <t>Membership</t>
  </si>
  <si>
    <t>Please break down your membership along the following categories:</t>
  </si>
  <si>
    <t>Organizations</t>
  </si>
  <si>
    <t>Individuals</t>
  </si>
  <si>
    <t>For Profit</t>
  </si>
  <si>
    <t xml:space="preserve"> </t>
  </si>
  <si>
    <t>Other</t>
  </si>
  <si>
    <t>x</t>
  </si>
  <si>
    <t>Non-Profit</t>
  </si>
  <si>
    <t>For-Profit</t>
  </si>
  <si>
    <t>Budget Size</t>
  </si>
  <si>
    <t>Indiv vs Org</t>
  </si>
  <si>
    <t>Org Type</t>
  </si>
  <si>
    <t>Please complete the following sentence: In my opinion, the frequency with which my members convene in person is:</t>
  </si>
  <si>
    <t>Yes = All</t>
  </si>
  <si>
    <t>Table</t>
  </si>
  <si>
    <t>Total</t>
  </si>
  <si>
    <t>A - Governance</t>
  </si>
  <si>
    <t>B - Budget</t>
  </si>
  <si>
    <t>C - Membership</t>
  </si>
  <si>
    <t>MembersFP</t>
  </si>
  <si>
    <t>MembersGovt</t>
  </si>
  <si>
    <t>MembersNPHousing</t>
  </si>
  <si>
    <t>MembersConveneFreq</t>
  </si>
  <si>
    <t>MembersFreqConveneOpinion</t>
  </si>
  <si>
    <t>MembersEmailPerMonth</t>
  </si>
  <si>
    <t>MemberDuesFactor1</t>
  </si>
  <si>
    <t>MemberDuesFactor2</t>
  </si>
  <si>
    <t>MemberDuesFactor3</t>
  </si>
  <si>
    <t>MemberDuesFactor4</t>
  </si>
  <si>
    <t>MemberDuesHigh</t>
  </si>
  <si>
    <t>MemberDuesLow</t>
  </si>
  <si>
    <t>MemberBenefitsDiscounts</t>
  </si>
  <si>
    <t>MemberBenefitsWebExclusive</t>
  </si>
  <si>
    <t>MembersBenefitsPassOn</t>
  </si>
  <si>
    <t>Mem9a</t>
  </si>
  <si>
    <t>Mem9b</t>
  </si>
  <si>
    <t>Mem10a</t>
  </si>
  <si>
    <t>Mem10b</t>
  </si>
  <si>
    <t>MemberBenefitsOther2</t>
  </si>
  <si>
    <t>Act1</t>
  </si>
  <si>
    <t>AdvocTrain</t>
  </si>
  <si>
    <t>AdvocYes</t>
  </si>
  <si>
    <t>AdvocYesPolicies</t>
  </si>
  <si>
    <t>AdvocTrainPaid</t>
  </si>
  <si>
    <t>AdvocLobbyistPay</t>
  </si>
  <si>
    <t>CoalitionYes</t>
  </si>
  <si>
    <t>CoalitionYesWhichOnes</t>
  </si>
  <si>
    <t>Act1a</t>
  </si>
  <si>
    <t>Act2</t>
  </si>
  <si>
    <t>Act2a</t>
  </si>
  <si>
    <t>Act3</t>
  </si>
  <si>
    <t>Act4</t>
  </si>
  <si>
    <t>Act4a</t>
  </si>
  <si>
    <t>Act5</t>
  </si>
  <si>
    <t>Act5a</t>
  </si>
  <si>
    <t>TrainYes</t>
  </si>
  <si>
    <t>TrainYesWhich</t>
  </si>
  <si>
    <t>TAYes</t>
  </si>
  <si>
    <t>TAYesAreas</t>
  </si>
  <si>
    <t>ConfYes</t>
  </si>
  <si>
    <t>ResearchYes</t>
  </si>
  <si>
    <t>ResearchYesTopics</t>
  </si>
  <si>
    <t>REDev</t>
  </si>
  <si>
    <t>Lending</t>
  </si>
  <si>
    <t>Does your organization provide direct services or programs to the community at large (outside of your membership)?</t>
  </si>
  <si>
    <t>5yrsOpChange</t>
  </si>
  <si>
    <t>5yrsSizeChange</t>
  </si>
  <si>
    <t>Act6</t>
  </si>
  <si>
    <t>Act6a</t>
  </si>
  <si>
    <t>Act7</t>
  </si>
  <si>
    <t>Act8</t>
  </si>
  <si>
    <t>Act8a</t>
  </si>
  <si>
    <t>Act9</t>
  </si>
  <si>
    <t>Act10</t>
  </si>
  <si>
    <t>Act11</t>
  </si>
  <si>
    <t>Act12</t>
  </si>
  <si>
    <t>Act13</t>
  </si>
  <si>
    <t>Act14</t>
  </si>
  <si>
    <t>TrackCDState</t>
  </si>
  <si>
    <t>TrackCDStatea</t>
  </si>
  <si>
    <t>TrackCDNat</t>
  </si>
  <si>
    <t>Indiana Association for Community Economic Development</t>
  </si>
  <si>
    <t>OCDCA</t>
  </si>
  <si>
    <t>OON</t>
  </si>
  <si>
    <t>PACDC</t>
  </si>
  <si>
    <t>Massachusetts Association of Community Development Corporations</t>
  </si>
  <si>
    <t>MCCD</t>
  </si>
  <si>
    <t>SCACDC</t>
  </si>
  <si>
    <t>NPCNY</t>
  </si>
  <si>
    <t>North Carolina Association of Community Development Corporations</t>
  </si>
  <si>
    <t>Philadelphia Association of Community Development Corporations</t>
  </si>
  <si>
    <t>SCANPH</t>
  </si>
  <si>
    <t>SFCDC</t>
  </si>
  <si>
    <t>TACDC</t>
  </si>
  <si>
    <t>South Carolina Association of Community Development Associations</t>
  </si>
  <si>
    <t>Texas Association of Community Development Corporations</t>
  </si>
  <si>
    <t>NCACDC</t>
  </si>
  <si>
    <t>3 terms</t>
  </si>
  <si>
    <t>Board seats are reserved based on geographic considerations.</t>
  </si>
  <si>
    <t>Board seats are informally reserved to reflect the organization's membership (non-profit housing developers, architects, and homeless service providers).</t>
  </si>
  <si>
    <t>Over 50% of board seats must be reserved for nonprofits.</t>
  </si>
  <si>
    <t>Size of Board of Directors (Number of Members)</t>
  </si>
  <si>
    <t>Length of Board Members’ Terms (Years)</t>
  </si>
  <si>
    <t>Whether or Not Board Members Have Term Limits</t>
  </si>
  <si>
    <t>Board Meetings (Frequency)</t>
  </si>
  <si>
    <t>Board Seats Reserved For Members Who Fit Profile</t>
  </si>
  <si>
    <t>Board Meetings (In Person or By Phone)</t>
  </si>
  <si>
    <t>In What Year Were You Founded?</t>
  </si>
  <si>
    <t>Do You Do Advocacy/Civic Engagement Training For Your Members? If so, do you get dedicated funding for this work?</t>
  </si>
  <si>
    <t>Do you work with coalitions? If Yes, which ones?</t>
  </si>
  <si>
    <t>Does your organization provide training or professional development opportunities to your members? If yes, on what topics?</t>
  </si>
  <si>
    <t>Does your organization provide technical assistance to your members or to other entities? If yes, in what areas?</t>
  </si>
  <si>
    <t>Not nearly enough</t>
  </si>
  <si>
    <t>Much larger</t>
  </si>
  <si>
    <t>Number of employees</t>
  </si>
  <si>
    <t>Housing Alliance of Pennsylvania</t>
  </si>
  <si>
    <t>Housing Network of Rhode Island</t>
  </si>
  <si>
    <t>Does your organization provide direct services or programs to the community at large (outside of your membership)? If yes, in what areas?</t>
  </si>
  <si>
    <t>Does your organization do policy advocacy? If yes, can you list your top 3 policy priorities?</t>
  </si>
  <si>
    <t>Banks</t>
  </si>
  <si>
    <t>Foundations</t>
  </si>
  <si>
    <t>Fundraising</t>
  </si>
  <si>
    <t>3/5 of board board seats are reserved for practitioner led organizations, 1/5 are reserved for corporate and business stakeholders, and 1/5 of seats are reserved for associate members (community based organizationss or others).</t>
  </si>
  <si>
    <t>Up to 5 seats are reserved for non-voting members (non CDC members) - as long as at least 10 voting board members (must have 10 voting members).</t>
  </si>
  <si>
    <t>All seats are reserved for voting members (a voting member must be a nonprofit, housing authority, or community action agency engaged in community development).</t>
  </si>
  <si>
    <t>Seats are reserved based on a geographic distribution.  Also, for-profit organizations can't be a majority.</t>
  </si>
  <si>
    <t>9 of 15 board seats must be filled by CDC's.</t>
  </si>
  <si>
    <t>5 seats must be reserved for executive directors and 2 other seats are reserved for individuals that are not executive directors.</t>
  </si>
  <si>
    <t>Full Name</t>
  </si>
  <si>
    <t>State</t>
  </si>
  <si>
    <t>California Community Economic Development Association</t>
  </si>
  <si>
    <t>Chicago Rehab Network</t>
  </si>
  <si>
    <t>Community Builders Network of Metropolitan St. Louis</t>
  </si>
  <si>
    <t>Community Development Advocates of Detroit</t>
  </si>
  <si>
    <t>Louisiana Housing Alliance</t>
  </si>
  <si>
    <t>Neighborhood Preservation Coalition of New York State</t>
  </si>
  <si>
    <t>Coalition for Nonprofit Housing &amp; Economic Development</t>
  </si>
  <si>
    <t>California</t>
  </si>
  <si>
    <t>Louisiana</t>
  </si>
  <si>
    <t>Missouri</t>
  </si>
  <si>
    <t>New York</t>
  </si>
  <si>
    <t>Minnesota</t>
  </si>
  <si>
    <t>Tennessee</t>
  </si>
  <si>
    <t>D - Online Presence</t>
  </si>
  <si>
    <t>E - Programs and Activities</t>
  </si>
  <si>
    <t>Abbreviation</t>
  </si>
  <si>
    <t>ACHANGE</t>
  </si>
  <si>
    <t>CEDAM</t>
  </si>
  <si>
    <t>DHC</t>
  </si>
  <si>
    <t>ReGrant</t>
  </si>
  <si>
    <t>VolunteerPlace</t>
  </si>
  <si>
    <t>FiscalSponsor</t>
  </si>
  <si>
    <t>DirectService</t>
  </si>
  <si>
    <t>5yrsMissionChange</t>
  </si>
  <si>
    <t>CNHED</t>
  </si>
  <si>
    <t>CBN</t>
  </si>
  <si>
    <t>HAP</t>
  </si>
  <si>
    <t>CDAD</t>
  </si>
  <si>
    <t>HNRI</t>
  </si>
  <si>
    <t>Community Economic Development Association of Michigan</t>
  </si>
  <si>
    <t>Florida Alliance of Community Development Corporations</t>
  </si>
  <si>
    <t>Georgia State Trade Association of Nonprofit Developers</t>
  </si>
  <si>
    <t>Housing Association of Nonprofit Developers</t>
  </si>
  <si>
    <t>News, updates</t>
  </si>
  <si>
    <t>Policy blasts, news clippings</t>
  </si>
  <si>
    <t>Membership renewals</t>
  </si>
  <si>
    <t>Mailing an annual magazine highlighting our work and our member's work, annual housing trust fund report, resource guide, other types of reports (impact of CDCs, tax cutter report)</t>
  </si>
  <si>
    <t>Local information for members (government policies), issue based communications</t>
  </si>
  <si>
    <t>Member renewals, op ed/thought pieces, grant anouncements, policy alerts</t>
  </si>
  <si>
    <t>Notice of upcoming member meetings, member information</t>
  </si>
  <si>
    <t>Flat Fee</t>
  </si>
  <si>
    <t>No dues in place at this time, will be discussing it at the next meeting</t>
  </si>
  <si>
    <t>Nonprofits are the only entities that pay</t>
  </si>
  <si>
    <t>Flexible scale for low income</t>
  </si>
  <si>
    <t>A majority of the seats must be reserved for nonprofits.</t>
  </si>
  <si>
    <t>4 seats are reserved for each county and 3 are at large.</t>
  </si>
  <si>
    <t>3 seats are reserved for associate members (for profit); all other seats are reserved for nonprofit members.</t>
  </si>
  <si>
    <t>2/3 are reserved for those in the industry of community development.</t>
  </si>
  <si>
    <t>75% of seats are reserved for community development corporations.</t>
  </si>
  <si>
    <t>Board seat reservations are split between the Chicago metropolitan area and the rest of Illinois.</t>
  </si>
  <si>
    <t>60% of board seats must be voting members that are 501c3's.</t>
  </si>
  <si>
    <t>All seats are reserved for CDCs and geographic areas.</t>
  </si>
  <si>
    <t>Seats are limited to representatives of our members, and we try to balance affordable housing and comm development as well as gender and ethnicity.</t>
  </si>
  <si>
    <t>The chairmen/chairwomen of the civic capacity and organizational capacity committees are typically on the board.</t>
  </si>
  <si>
    <t>Memphis Community Development Council</t>
  </si>
  <si>
    <t>Arkansas Coalition of Housing and Neighborhood Growth for Empowerment</t>
  </si>
  <si>
    <t>Twice a month</t>
  </si>
  <si>
    <t>All but 2 seats must be filled by a CHDO or neighborhood preservation association.  The other 2 seats can be filled by invested stakeholders</t>
  </si>
  <si>
    <t>Subgrant Americorp Vistas, IDAs, microenterprise grants, technical asstance grants (hire a consultant for a project)</t>
  </si>
  <si>
    <t>Policy and advocacy</t>
  </si>
  <si>
    <t xml:space="preserve">Access to data on property within the city </t>
  </si>
  <si>
    <t>Pass through grants</t>
  </si>
  <si>
    <t>Scholarships, small peer networks within our organization</t>
  </si>
  <si>
    <t>What membership platform/software do you use?</t>
  </si>
  <si>
    <t>www.achange.org</t>
  </si>
  <si>
    <t>SalsaLabs</t>
  </si>
  <si>
    <t>Linkedin</t>
  </si>
  <si>
    <t>www.ct-housing.org</t>
  </si>
  <si>
    <t>Memberclips</t>
  </si>
  <si>
    <t>Salesforce</t>
  </si>
  <si>
    <t>Youtube, Linkedin</t>
  </si>
  <si>
    <t>housingforall.org</t>
  </si>
  <si>
    <t>Linkedin, Pinterest</t>
  </si>
  <si>
    <t>www.flacdc.org</t>
  </si>
  <si>
    <t>Access</t>
  </si>
  <si>
    <t>Down at this time, merging with another org</t>
  </si>
  <si>
    <t>www.housingactionil.org</t>
  </si>
  <si>
    <t>Salsa</t>
  </si>
  <si>
    <t>Seats are reserved for CD organizations that are urban and rural as well as seats designated seats for bankers.</t>
  </si>
  <si>
    <t>2/3 of seats are reserved for voting members (community development organizations)  and up to 1/3 of seats can be non-voting members.</t>
  </si>
  <si>
    <t>All seats are reserved for CDC members, except for 3 at large seats.</t>
  </si>
  <si>
    <t>Equally by person and phone</t>
  </si>
  <si>
    <t>Earned</t>
  </si>
  <si>
    <t>NACDC</t>
  </si>
  <si>
    <t>Row Labels</t>
  </si>
  <si>
    <t>Sum of Data</t>
  </si>
  <si>
    <t>Column Labels</t>
  </si>
  <si>
    <t>Type</t>
  </si>
  <si>
    <t>Nonprofit</t>
  </si>
  <si>
    <t>Invdividual vs Organization Members</t>
  </si>
  <si>
    <t>Nonprofit vs For Profit Members</t>
  </si>
  <si>
    <t>Labels</t>
  </si>
  <si>
    <t>Place-based vs Constituency-based</t>
  </si>
  <si>
    <t>Place-Based</t>
  </si>
  <si>
    <t>Constituency-Based</t>
  </si>
  <si>
    <t>1x per year</t>
  </si>
  <si>
    <t>2x per year</t>
  </si>
  <si>
    <t>1x per quarter</t>
  </si>
  <si>
    <t>2x per month</t>
  </si>
  <si>
    <t>1x per month</t>
  </si>
  <si>
    <t>1x per 2 months</t>
  </si>
  <si>
    <t>Too often</t>
  </si>
  <si>
    <t>Not often enough</t>
  </si>
  <si>
    <t>Not nearly often enough</t>
  </si>
  <si>
    <t xml:space="preserve">What types of communications do you send to your members? </t>
  </si>
  <si>
    <t>yes</t>
  </si>
  <si>
    <t>no</t>
  </si>
  <si>
    <t>Newsletters</t>
  </si>
  <si>
    <t>Action Alerts</t>
  </si>
  <si>
    <t>Event Promotions</t>
  </si>
  <si>
    <t>Training Notifications</t>
  </si>
  <si>
    <t>EBHO</t>
  </si>
  <si>
    <t>FLACDC</t>
  </si>
  <si>
    <t>GSTAND</t>
  </si>
  <si>
    <t>HCDNNJ</t>
  </si>
  <si>
    <t>DirectServiceDescribe</t>
  </si>
  <si>
    <t>StateCDRightWrong</t>
  </si>
  <si>
    <t>NationalCDRightWrong</t>
  </si>
  <si>
    <t>StateAHRightWrong</t>
  </si>
  <si>
    <t>CRN</t>
  </si>
  <si>
    <t>CHC</t>
  </si>
  <si>
    <t>HAI</t>
  </si>
  <si>
    <t>LHA</t>
  </si>
  <si>
    <t>Courtesy announcements for member organizations</t>
  </si>
  <si>
    <t>Membership renewal notices</t>
  </si>
  <si>
    <t>Reports and analysis</t>
  </si>
  <si>
    <t>Job postings, member updates</t>
  </si>
  <si>
    <t>@cedaminfo</t>
  </si>
  <si>
    <t>@cbnstl</t>
  </si>
  <si>
    <t>@athcdnnj</t>
  </si>
  <si>
    <t>@NCACDC</t>
  </si>
  <si>
    <t>@oregonon</t>
  </si>
  <si>
    <t>@pahousing</t>
  </si>
  <si>
    <t>@phillycdcs</t>
  </si>
  <si>
    <t>@commdevsc</t>
  </si>
  <si>
    <t>@livablememphis</t>
  </si>
  <si>
    <t>@TXcdc</t>
  </si>
  <si>
    <t>Twitter Handle</t>
  </si>
  <si>
    <t>Constant contact</t>
  </si>
  <si>
    <t>Do you process at least some membership applications online?</t>
  </si>
  <si>
    <t>Online Applications</t>
  </si>
  <si>
    <t>Platform/Software</t>
  </si>
  <si>
    <t>CRM type program NEON, but moving to salesforce - and use constant contact for emails</t>
  </si>
  <si>
    <t>Wild Apricot</t>
  </si>
  <si>
    <t>Does your organization offer insurance or other products at a group discount on behalf of your members?</t>
  </si>
  <si>
    <t>Insurance</t>
  </si>
  <si>
    <t>Act15</t>
  </si>
  <si>
    <t>Act15a</t>
  </si>
  <si>
    <t>External review of fees yearly</t>
  </si>
  <si>
    <t>Small vs large members based on number of staff (9 or less vs 10 or more since membership confers free or discounted entry to many events), also student and government rates</t>
  </si>
  <si>
    <t>Very low income membership</t>
  </si>
  <si>
    <t>Has never changed in 18 years</t>
  </si>
  <si>
    <t>Flat fee, but request another donation based on operating budget</t>
  </si>
  <si>
    <t>Determined by payroll</t>
  </si>
  <si>
    <t>Low income membership</t>
  </si>
  <si>
    <t>Associate members have a different rate as well as students, and universities</t>
  </si>
  <si>
    <t>Americore Vista Program for members only</t>
  </si>
  <si>
    <t>Life insurance benefits, lobbying</t>
  </si>
  <si>
    <t>401k for members, economic impact statements, strategic planning facilitation</t>
  </si>
  <si>
    <t>Exclusive Access to Web Resources</t>
  </si>
  <si>
    <t>Scholarships</t>
  </si>
  <si>
    <t>Networking events</t>
  </si>
  <si>
    <t>Public policy advocacy</t>
  </si>
  <si>
    <t>Training discounts</t>
  </si>
  <si>
    <t>Grants for training programs and internship grants so members can hire interns and future leaders</t>
  </si>
  <si>
    <t xml:space="preserve">Group sponsored property insurance, policy work, scholarships for training, </t>
  </si>
  <si>
    <t>Membership in a statewide organization</t>
  </si>
  <si>
    <t>Restricted to full members and only 1/3 of board can be for-profit or other non CDC entities.</t>
  </si>
  <si>
    <t>Does your organization produce original research for your members or for the general public? If yes, on what topics?</t>
  </si>
  <si>
    <t>affordable housing dev (finance), public housing residents on organizing and leadership dev, emergin leaders network (millenials looking to build skills)</t>
  </si>
  <si>
    <t>affordable housing, organizing low income people</t>
  </si>
  <si>
    <t>NCRC, fair budget coalition in DC, washington interfaith network, coalition of homeless organizations</t>
  </si>
  <si>
    <t>development finance pro certifcation series, training on green building, supportive housing, residential service, low income housing tax credits</t>
  </si>
  <si>
    <t>getting payments from the government, concerns about funding for local government agencies, how to start an affordable housing development corporation</t>
  </si>
  <si>
    <t>Pinterest and Linkedin</t>
  </si>
  <si>
    <t>Selfalabs</t>
  </si>
  <si>
    <t>www.lahousingalliance.org</t>
  </si>
  <si>
    <t>Databank</t>
  </si>
  <si>
    <t>www.macdc.org</t>
  </si>
  <si>
    <t>Instagram</t>
  </si>
  <si>
    <t>www.cedam.info</t>
  </si>
  <si>
    <t>Youtube</t>
  </si>
  <si>
    <t>www.mccdmn.org/</t>
  </si>
  <si>
    <t>Linkedin, Instagram</t>
  </si>
  <si>
    <t>www.npcnyf.org</t>
  </si>
  <si>
    <t>www.ncacdc.org</t>
  </si>
  <si>
    <t>Evectra</t>
  </si>
  <si>
    <t>GroundWork - vendor in columbus</t>
  </si>
  <si>
    <t>Giftworks</t>
  </si>
  <si>
    <t>www.pacdc.org</t>
  </si>
  <si>
    <t>Manage two other websites (landbank in philly, and housing trust fund)</t>
  </si>
  <si>
    <t>www.housingnetworkRI.org</t>
  </si>
  <si>
    <t>Pinterest</t>
  </si>
  <si>
    <t>www.tacdc.org</t>
  </si>
  <si>
    <t xml:space="preserve">Constant contact, Quickbooks, </t>
  </si>
  <si>
    <t>What is your organization's web address?</t>
  </si>
  <si>
    <t>Website</t>
  </si>
  <si>
    <t>www.housingalliancepa.org</t>
  </si>
  <si>
    <t>www.ohiocdc.org</t>
  </si>
  <si>
    <t>www.chicagorehab.org/</t>
  </si>
  <si>
    <t>www.cdad-online.org</t>
  </si>
  <si>
    <t>www.communitybuildersstl.org/</t>
  </si>
  <si>
    <t>www.hcdnnj.org/</t>
  </si>
  <si>
    <t>www.communitydevelopmentsc.org/</t>
  </si>
  <si>
    <t>memphiscommunitydevelopment.com and livablememphis.org</t>
  </si>
  <si>
    <t>oregonon.org</t>
  </si>
  <si>
    <t>www.iaced.org/</t>
  </si>
  <si>
    <t>cceda.com/</t>
  </si>
  <si>
    <t>www.ebho.org/</t>
  </si>
  <si>
    <t>scanph.org</t>
  </si>
  <si>
    <t>www.cnhed.org/</t>
  </si>
  <si>
    <t>www.handhousing.org/</t>
  </si>
  <si>
    <t>www.southfloridacdc.org/</t>
  </si>
  <si>
    <t>Which social media sites does your organization use?</t>
  </si>
  <si>
    <t>Twitter</t>
  </si>
  <si>
    <t>Facebook</t>
  </si>
  <si>
    <t>Other Social Media</t>
  </si>
  <si>
    <t>What's your organization's Twitter handle?</t>
  </si>
  <si>
    <t>@achange</t>
  </si>
  <si>
    <t xml:space="preserve">Membership renewals </t>
  </si>
  <si>
    <t>Advocacy campaigns</t>
  </si>
  <si>
    <t>@ChiRehabNetwork</t>
  </si>
  <si>
    <t>@housingactionil</t>
  </si>
  <si>
    <t>Fundraising Appeals</t>
  </si>
  <si>
    <t>Surveys</t>
  </si>
  <si>
    <t>HAND</t>
  </si>
  <si>
    <t>IACED</t>
  </si>
  <si>
    <t>MACDC</t>
  </si>
  <si>
    <t>CD Council</t>
  </si>
  <si>
    <t>CCEDA</t>
  </si>
  <si>
    <t>National low income housing coalition</t>
  </si>
  <si>
    <t>Workshops on performance management, rehab construction training, access to capital, neighborhool stabilizaiton</t>
  </si>
  <si>
    <t>project development</t>
  </si>
  <si>
    <t>NCRC</t>
  </si>
  <si>
    <t>affordable housing development, board development, succession planning</t>
  </si>
  <si>
    <t>development finance, property management, single family multi-family development</t>
  </si>
  <si>
    <t>affordable housing factbook (2010 census)</t>
  </si>
  <si>
    <t>quarterly report to city of chicago on palnning and performance</t>
  </si>
  <si>
    <t>national low income housing coalition, naceda, NCRC, National alliance to end homelessness, regional housing partnership, better Illinois campaign</t>
  </si>
  <si>
    <t>Housing Arkansas, National Low income housing solutions, National rural health coalitions</t>
  </si>
  <si>
    <t>Org mangemnet, financial mgmt, housing programs</t>
  </si>
  <si>
    <t>State affordable housing in Arkansas</t>
  </si>
  <si>
    <t>national association latino NALCAB, CAPCED asian pacific americans, opportunity finance network</t>
  </si>
  <si>
    <t>housing, local government</t>
  </si>
  <si>
    <t>enterprise creation through their contracts, local government reorganization, housing</t>
  </si>
  <si>
    <t>how to do a deal - guidebooks, dictionary of jargon, exemplary practices</t>
  </si>
  <si>
    <t>already talked about it</t>
  </si>
  <si>
    <t>housing california, NPH of northern california, ACCE (alliance of california for community empowermnt), greenbelt alliance, public advocates, transform</t>
  </si>
  <si>
    <t>leadership dev, public speaking and civic engagement, topical (transpo 101)</t>
  </si>
  <si>
    <t>land use and zoning, affordable housing policy and finance, community organization and leadership development</t>
  </si>
  <si>
    <t>community benefits concepts, foreclosure solutions</t>
  </si>
  <si>
    <t>referral and info about affordable housing resources</t>
  </si>
  <si>
    <t>housing California, California housing consortium, California housing partnership</t>
  </si>
  <si>
    <t>Statewide media list, opportunity to serve on committes and boards, Grant Station</t>
  </si>
  <si>
    <t>development, portfolio management</t>
  </si>
  <si>
    <t>Grant Station discount, low cost capacity building and training</t>
  </si>
  <si>
    <t xml:space="preserve">Providing a collective voice </t>
  </si>
  <si>
    <t>fact sheets on relationship between childhood well being and stable housing, the elderly and housing, housing and transportation, district profiles for members to engage elected officials</t>
  </si>
  <si>
    <t>smartgrowth alliance, building blocks coalition, transportation for Massachusetts</t>
  </si>
  <si>
    <t>real estate dev, econ dev, comm org, org dev (board dev, strategic planning), mentoring program</t>
  </si>
  <si>
    <t xml:space="preserve">strategic planning, fundraising, executive director transition, </t>
  </si>
  <si>
    <t>yearly report of member activities, community development and health, univeristy CDC partnerships, CDCs and environmental sustainability</t>
  </si>
  <si>
    <t>donor eductation and donor outreach</t>
  </si>
  <si>
    <t xml:space="preserve">community and economic devevlopment of Michigan </t>
  </si>
  <si>
    <t>Planning</t>
  </si>
  <si>
    <t>state of community development industry, planning</t>
  </si>
  <si>
    <t>National low income housing coalition, center for comm progress, LISC</t>
  </si>
  <si>
    <t>workforce housing, determining the average cost of housing production, the costs and benefits of supportive housing, other policy papers on resident services, homeowner legislation</t>
  </si>
  <si>
    <t>National low income housing, national low income housing coaltion, NACEDA</t>
  </si>
  <si>
    <t>resident services, pgming, housing dev finance, local trends, discussion groups on green building, asset managemtn, prop management, financial compliance, low income housing tax credit, budget briefings</t>
  </si>
  <si>
    <t>national low income housing coalition, disability advocates, homeless</t>
  </si>
  <si>
    <t xml:space="preserve">affirmatively furthering fair housing, </t>
  </si>
  <si>
    <t xml:space="preserve">tenant issues (landlord tenant code in Delaware), housing council formation, </t>
  </si>
  <si>
    <t>economic impact of housing study, impact of rental housing on communities in Delaware (NIMBY concerns), housing needs of people with disabilities in Delaware</t>
  </si>
  <si>
    <t>landlord tenant questions, forming resident councils</t>
  </si>
  <si>
    <t>@EBHO_housing</t>
  </si>
  <si>
    <t>@scanph</t>
  </si>
  <si>
    <t>@cthsgcoalition</t>
  </si>
  <si>
    <t>@cnhed</t>
  </si>
  <si>
    <t>@handhousing</t>
  </si>
  <si>
    <t>@whynimby</t>
  </si>
  <si>
    <t>@incommdev</t>
  </si>
  <si>
    <t>@masscdcs</t>
  </si>
  <si>
    <t>@cdaddetroit</t>
  </si>
  <si>
    <t>florida coalition</t>
  </si>
  <si>
    <t>capacity building (fundraising, social media, governance)</t>
  </si>
  <si>
    <t>same topics</t>
  </si>
  <si>
    <t>crime prevention through environmental design, expiring 15 yr low income housing tax credit, sustainabliy/green building, generating unrestricted income for nonprofits</t>
  </si>
  <si>
    <t>disaster recover and preparedness, finance(aquicstions and mergers), board development, direct financing, developing strategic agreements with habitat for humanity, housing counseling</t>
  </si>
  <si>
    <t>the impact of the revitalization tax credit, impact of problem property ordnance, annual survey of members</t>
  </si>
  <si>
    <t>Naceda, national low income hosing coalition, NY for responible lending, green affordable housing coalition, national housing conference</t>
  </si>
  <si>
    <t xml:space="preserve">org dev, capacity building (new nonprofit law), NWBE section 3 req, funding courses, afford able housing, trainigns on the home program, </t>
  </si>
  <si>
    <t xml:space="preserve">Housing counseling(, foreclosure mitigations, pre purchase, ), place based dev, reentry (housing for former offenders), </t>
  </si>
  <si>
    <t>housing counseling, community housing development corporations CHDO, collaborations and facilitation (funding)</t>
  </si>
  <si>
    <t>part of IHARP, subsidized housing issues (housing choice voucher/demographics), housing for people with disabilities, housing counseling capacity, homeless services</t>
  </si>
  <si>
    <t>all trainings that were listed before</t>
  </si>
  <si>
    <t>Indiana coalition of housing partners, NCRC, national housing coalition</t>
  </si>
  <si>
    <t>econ dev finance professionals, compliance regualtion, org dev - how to run non profit, utilization fo a housing tax credit</t>
  </si>
  <si>
    <t>rental deduct in Indiana, economic impact of our members</t>
  </si>
  <si>
    <t>consulting services</t>
  </si>
  <si>
    <t>National low income housing coalition, greater new orleans housing alliance, equal voice network (margarite casey foundation), southern caucus of state coalitions through neighborworks america</t>
  </si>
  <si>
    <t>housing finance or land use policy</t>
  </si>
  <si>
    <t>partnership for strong communities, national low income housing coalition, NACEDA</t>
  </si>
  <si>
    <t>Philly comm dev institute: real estate issues (low income housing tax credit dev, mixed use dev, prop mgt), org dev issues (communications, fundraising, HR, advocacy), programatic (health and wellness as a comm dev tool, improving schools in the community)</t>
  </si>
  <si>
    <t>communications, fundraising (strategies and systems), accessing data (GIS mapping)</t>
  </si>
  <si>
    <t>collected strength (worked to measure economic impact of CDC industry in Philadelphia), programs put in place to measure impact of programs (tool in advocacy to show evidence of effects)</t>
  </si>
  <si>
    <t>open our symposium to non members</t>
  </si>
  <si>
    <t>real estate dev training, basic org training, counseling training, strategic planning, property mangement, legal structures, place making</t>
  </si>
  <si>
    <t>strategic planning, graphic design, make videos, help with conference planning</t>
  </si>
  <si>
    <t xml:space="preserve">homes for all campaign, Minnesota coalition for the homeless, Lutheran social services, Catholic charities, plan to end homelessness, heading home Minnesota </t>
  </si>
  <si>
    <t xml:space="preserve">emerging leaders (networking opportunites for dev leaders), econ dev committie that meets for education opportunities, housing committee </t>
  </si>
  <si>
    <t>helping entrepreneurs build a business, help them with business plans, get financing, provide it, lending, credit building programs</t>
  </si>
  <si>
    <t>effect of a redevelopment program in a deep dive</t>
  </si>
  <si>
    <t>small business owners, advocacy with organizations outside our membership</t>
  </si>
  <si>
    <t>NACEDA, home matters campaign, MOHA missouri workforce assocation</t>
  </si>
  <si>
    <t xml:space="preserve">financial sustainability, collaboration, capacity building, facilitation and documentation, </t>
  </si>
  <si>
    <t>research and best practices, indicators, coalitions to work through problems</t>
  </si>
  <si>
    <t>NACEDA, Florida housing coalition, community action association, community development association (local), Florida prospertiy assocaiton</t>
  </si>
  <si>
    <t>org dev and capacity builidng, commerical and biz dev, media</t>
  </si>
  <si>
    <t>governance, programatic, capacity building</t>
  </si>
  <si>
    <t>survey of the industry</t>
  </si>
  <si>
    <t>affordable housing regulations, one CDC provider for a national provider, strategic planning, property tax exemption for non profits</t>
  </si>
  <si>
    <t>a salary survey, production survey, policy research</t>
  </si>
  <si>
    <t>Yes/No</t>
  </si>
  <si>
    <t>Policy Priorities</t>
  </si>
  <si>
    <t>Economic development, job training and creation, accelerated business development</t>
  </si>
  <si>
    <t>Housing trust funds funding, changes to state finance agency policies</t>
  </si>
  <si>
    <t>state and federal funding source compliance, asset management, board development, human resources staffing, state funding policy, capacity builidng relating to funding</t>
  </si>
  <si>
    <t>Blueprint North Carolina, HK on J coalition, CED Collaborative</t>
  </si>
  <si>
    <t>Intro and overview to community econ dev, management and compliance, specific work (construction, evaluations)</t>
  </si>
  <si>
    <t>Financial management, board governance, real estate development</t>
  </si>
  <si>
    <t>workforce housing, connection between housing and environment &amp; commuting patterns, energy</t>
  </si>
  <si>
    <t>civic engagement, consulting to municipatlies</t>
  </si>
  <si>
    <t>greater Ohio, heritage Ohio (mainstreet group) Ohio capital group for housing</t>
  </si>
  <si>
    <t>afford housing, comm econ dev, fin ed, local food economy</t>
  </si>
  <si>
    <t>fundraising</t>
  </si>
  <si>
    <t>Appalachian housing</t>
  </si>
  <si>
    <t xml:space="preserve">housing alliance (Oregon), NCRC, </t>
  </si>
  <si>
    <t>resident services, property and asset management, fiscal mgt, leadership</t>
  </si>
  <si>
    <t>National low income housing coalition, national alliance to end homelessness, center for budget and policy priorities</t>
  </si>
  <si>
    <t>policy issues that are advancing and how to advocate</t>
  </si>
  <si>
    <t>land banks</t>
  </si>
  <si>
    <t>blight strategies, best practices around meeting housing needs, housing data</t>
  </si>
  <si>
    <t>training tech assitance, coord approach to issue advocacy</t>
  </si>
  <si>
    <t xml:space="preserve">Communications, advocacy and coalition building, campaign development, housing dev finance, org dev, </t>
  </si>
  <si>
    <t>organizational capacity and community planning and engagement</t>
  </si>
  <si>
    <t>housing alliance of Pennsylvania, regional housing legal services, NCRC, national low income housing coalition, (we build broad coalitions around issues as needed to achieve our goals)</t>
  </si>
  <si>
    <t>Neighborhood tax credits, housing trust fund, micro enterprise funding</t>
  </si>
  <si>
    <t>Rhode Island coalition for the homeless, NACEDA, national low income hosing coaltion, national land trust coalition</t>
  </si>
  <si>
    <t>education on changes to state housin pgms, changes on state building codes, energy policy changes</t>
  </si>
  <si>
    <t>data collection and reporting for housing counseling</t>
  </si>
  <si>
    <t>community banker - high rental costs in Rhode Island</t>
  </si>
  <si>
    <t>home buyer education</t>
  </si>
  <si>
    <t>in South Carolina rural resource coalition, in South Carolina conservation voters of South Carolina, the clean energy business alliance, corporation for enterprise development (opportunity development network), IDA collorabtives, southern caucus of NACEDA</t>
  </si>
  <si>
    <t>community dev institute (monthly training program for capacity building), energy efficiency and clean energey, micor biz dev</t>
  </si>
  <si>
    <t xml:space="preserve">organizational development, strategic planning, grant writing, </t>
  </si>
  <si>
    <t>energy efficiency, rural development, heirs property preservation</t>
  </si>
  <si>
    <t>NACEDA, alliance for walking and biking, statewide affordable housing taskforce</t>
  </si>
  <si>
    <t>governance and nonprofit management, some dev oriented training, give scholarship dollars so member can find their own training too, fundraising</t>
  </si>
  <si>
    <t xml:space="preserve">Board development, nonprofit management, partnership development, </t>
  </si>
  <si>
    <t>annual lending studies</t>
  </si>
  <si>
    <t>healthcare navigator (healthcare information and enrollment), community engagement and civic engagement</t>
  </si>
  <si>
    <t>Partnership For Strong Communities, National Low Income Housing Coalition, NACEDA</t>
  </si>
  <si>
    <t>ideas for counties to improve and develop communities</t>
  </si>
  <si>
    <t>fairshare housing center, NJ community capital, mayor's association and municiplaties</t>
  </si>
  <si>
    <t>other trade associations, Texas association of local finance, corporation for suppport of housing, Texas homeless network</t>
  </si>
  <si>
    <t>how to create a CDC through asset management, partner with trainers to bring training for our members</t>
  </si>
  <si>
    <t>Winning local funding for affordable housing, advocating for better local policies for affordable housing, finding solutions for gentrification and displacement</t>
  </si>
  <si>
    <t>SP391 (state bill), housing credits, local public sector funding</t>
  </si>
  <si>
    <t>Affordable housing creation, preservation of public housing, inclusionary zoning</t>
  </si>
  <si>
    <t xml:space="preserve">Getting a rental assistance program started and funded, housing for people with disabilities, fair housing (make income a protected category in housing applications) </t>
  </si>
  <si>
    <t>Affordable housing, economic develoment policy</t>
  </si>
  <si>
    <t>Foreclosures, predatory lending</t>
  </si>
  <si>
    <t>Resources, building the field (leadership and institutions), preserving housing in gentrifying areas</t>
  </si>
  <si>
    <t>State budgets (homelessness and supportive services), federal (HUD) budget - national housing trust fund, increasing revenue for the state (focusing on personal income tax)</t>
  </si>
  <si>
    <t>Abandonded housing, public transit, defense of key programs</t>
  </si>
  <si>
    <t>Funding for small business technical asstance, brownfields funding (Massachusetts program providing money for building development), rental assistance funding</t>
  </si>
  <si>
    <t>Community development block grants, community benefits agreements, community advisory councils</t>
  </si>
  <si>
    <t>Vibrant neighborhoods, economic opportunity, housing security</t>
  </si>
  <si>
    <t>Maintaining funding for community development, identifying avenues for increasing community development and reduce costs, supporting small business development and success</t>
  </si>
  <si>
    <t>Blueprint North Carolina, HK On J Coalition, CED Collaborative</t>
  </si>
  <si>
    <t>More transparent grant processes (external reviewers), investment for community based funding, larger pools of funder that organizations can apply to do serious community development, raise awareness in the philanthropic community</t>
  </si>
  <si>
    <t>Foreclosures, Hurricane Sandy recovery, budget issues</t>
  </si>
  <si>
    <t>Capital funding, administration funding for affordable housing nonprofits, regulation reauthorizations</t>
  </si>
  <si>
    <t>Foreclosure resources for housing counselors, voting rights, zoning and housing</t>
  </si>
  <si>
    <t>What is your organization’s mission statement?</t>
  </si>
  <si>
    <t xml:space="preserve">What types of communications do you send to your members </t>
  </si>
  <si>
    <t>Always changing- capturing resources for affordable housing, creating a more friendly operating environment for our members, intersection of health care and housing, getting small jurisdictions to adopt affordable housing tools, getting equity issues integrated into our work</t>
  </si>
  <si>
    <t>Expand state housing trust fund, revenue related priorities (create an affordable housing tax credit)</t>
  </si>
  <si>
    <t>Preserving rent restricted rental housing, more funding for affordable housing</t>
  </si>
  <si>
    <t>State legislation: South Carolina community development act (must advocate for appropriation of funds), appropriations for CDCs &amp; CDFIs, state earned income tax credit, micro enterpise development in the state, solar leasing bill (give home owners access solar power and bypass utilities)</t>
  </si>
  <si>
    <t>Eradicating blight, redevelopment of neighborhoods, transportation</t>
  </si>
  <si>
    <t>Additional funding to state housing trust funding, tax ememption for CHDOs, state agency reform, payday and predatory lending reform</t>
  </si>
  <si>
    <t>We have more of a regional focus</t>
  </si>
  <si>
    <t>Dedicated Funding Sources</t>
  </si>
  <si>
    <t>Advocacy/Civic Engagement Training</t>
  </si>
  <si>
    <t>Pay for Lobbying</t>
  </si>
  <si>
    <t>Coalition Partners</t>
  </si>
  <si>
    <t>Housing Arkansas, National Low Income Housing Solutions, National Rural Health Coalitions</t>
  </si>
  <si>
    <t>NALCAB, CAPCED Asian Pacific Americans, Opportunity Finance Network</t>
  </si>
  <si>
    <t>Housing California, California Housing Consortium, California Housing Partnership</t>
  </si>
  <si>
    <t>MissionStatement</t>
  </si>
  <si>
    <t>MembersPlaceBased</t>
  </si>
  <si>
    <t>National Low Income Housing Coalition, Disability Advocates, Homeless</t>
  </si>
  <si>
    <t>Florida Coalition</t>
  </si>
  <si>
    <t>National Low Income Housing Coalition</t>
  </si>
  <si>
    <t>National Low Income Housing Coalition, NACEDA, NCRC, National Alliance To End Homelessness, Regional Housing Partnership, Better Illinois Campaign</t>
  </si>
  <si>
    <t>Smartgrowth Alliance, Building Blocks Coalition, Transportation For Massachusetts</t>
  </si>
  <si>
    <t xml:space="preserve">Homes For All Campaign, Minnesota Coalition For The Homeless, Lutheran Social Services, Catholic Charities, Plan To End Homelessness, Heading Home Minnesota </t>
  </si>
  <si>
    <t>Greater Ohio, Heritage Ohio (Mainstreet Group) Ohio Capital Group For Housing</t>
  </si>
  <si>
    <t>National Low Income Housing Coalition, National Alliance To End Homelessness, Center For Budget And Policy Priorities</t>
  </si>
  <si>
    <t>NACEDA, Alliance For Walking And Biking, Statewide Affordable Housing Taskforce</t>
  </si>
  <si>
    <t>Housing Alliance (Oregon), NCRC</t>
  </si>
  <si>
    <t xml:space="preserve">Community And Economic Devevlopment Of Michigan </t>
  </si>
  <si>
    <t>Fairshare Housing Center, Nj Community Capital, Mayor'S Association And Municiplaties</t>
  </si>
  <si>
    <t>Rhode Island Coalition For The Homeless, Naceda, National Low Income Hosing Coaltion, National Land Trust Coalition</t>
  </si>
  <si>
    <t>Other Trade Associations, Texas Association Of Local Finance, Corporation For Suppport Of Housing, Texas Homeless Network</t>
  </si>
  <si>
    <t>Housing California, NPH Of Northern California, ACCE (Alliance Of California For Community Empowermnt), Greenbelt Alliance, Public Advocates, Transform</t>
  </si>
  <si>
    <t>Indiana Coalition Of Housing Partners, NCRC National Housing Coalition</t>
  </si>
  <si>
    <t>National Low Income Housing Coalition, Center For Comm Progress, LISC</t>
  </si>
  <si>
    <t>NACEDA, Home Matters Campaign, Moha Missouri Workforce Assocation</t>
  </si>
  <si>
    <t>NACEDA, National Low Income Hosing Coalition, NY For Responible Lending, Green Affordable Housing Coalition, National Housing Conference</t>
  </si>
  <si>
    <t>Education and Training, Public Policy Advocacy</t>
  </si>
  <si>
    <t>Staff, Technical assistance with internal committee work</t>
  </si>
  <si>
    <t>Wrong</t>
  </si>
  <si>
    <t>Funding cutbacks are hurting local organizations</t>
  </si>
  <si>
    <t>Right</t>
  </si>
  <si>
    <t>In South Carolina: Rural Resource Coalition, Conservation Voters Of South Carolina, The Clean Energy Business Alliance, Corporation For Enterprise Development (Opportunity Development Network), IDA Collorabtives, Southern Caucus Of NACEDA</t>
  </si>
  <si>
    <t>Long</t>
  </si>
  <si>
    <t>Would you be willing to share a copy of your by-laws?</t>
  </si>
  <si>
    <t>When does your current strategic plan expire (If you have one)?</t>
  </si>
  <si>
    <t>Does your organization use other social media? If so, what?</t>
  </si>
  <si>
    <t>Do you process at least some membership applications online? Yes/no</t>
  </si>
  <si>
    <t>Does your organization receive any dedicated sources of funding for your policy or civic engagement work?</t>
  </si>
  <si>
    <t>Is your association hoping for growth or shift in line of business/activity (broadly defined)? Yes/no</t>
  </si>
  <si>
    <t>What areas?</t>
  </si>
  <si>
    <t>What would you need to facilitate that growth/shift/expansion?</t>
  </si>
  <si>
    <t xml:space="preserve">Working for a state or regional housing/CED association is a very unique job. What are the top three or more areas in which you and/or your staff could use professional development training? </t>
  </si>
  <si>
    <t>Do you see the provision of that staff development as a role NACEDA could play?</t>
  </si>
  <si>
    <t>Would your staff be interested in participating in peer groups of other NACEDA members with similar interests?</t>
  </si>
  <si>
    <t>If so, what peer groups would be useful to your staff</t>
  </si>
  <si>
    <t>How much money (if any) did your association dedicate to staff professional development in 2013?</t>
  </si>
  <si>
    <t>Is your organization doing anything to develop the next generation of community development practitioners and leaders in the field?</t>
  </si>
  <si>
    <t>Short</t>
  </si>
  <si>
    <t>Bylaws</t>
  </si>
  <si>
    <t>StrategicPlan</t>
  </si>
  <si>
    <t>Yes, but informally to reflect our membership (non-profit housing developers, architects, homeless service providers)</t>
  </si>
  <si>
    <t>None in place</t>
  </si>
  <si>
    <t>MembersConstituencyBased</t>
  </si>
  <si>
    <t>Newletters</t>
  </si>
  <si>
    <t>Action alerts</t>
  </si>
  <si>
    <t>Event promotions</t>
  </si>
  <si>
    <t>Training notificiations</t>
  </si>
  <si>
    <t>Fundraising appeal</t>
  </si>
  <si>
    <t>MembersDues</t>
  </si>
  <si>
    <t>MemberDuesFactor5</t>
  </si>
  <si>
    <t>MemberBenefits</t>
  </si>
  <si>
    <t>MemberBenefitsTraining</t>
  </si>
  <si>
    <t>MemberBenefitsOther</t>
  </si>
  <si>
    <t>WebAddress</t>
  </si>
  <si>
    <t>WebTwitter</t>
  </si>
  <si>
    <t>WebFacebook</t>
  </si>
  <si>
    <t>WebOther</t>
  </si>
  <si>
    <t>WebApplicationOnline</t>
  </si>
  <si>
    <t>membership growth, community residents programs</t>
  </si>
  <si>
    <t>WebSoftware</t>
  </si>
  <si>
    <t>NeedsGrowth</t>
  </si>
  <si>
    <t>NeedsGrowthWhich</t>
  </si>
  <si>
    <t>NeedsGrowthFacilitate</t>
  </si>
  <si>
    <t>NeedsStaff</t>
  </si>
  <si>
    <t>NeedsNACEDA</t>
  </si>
  <si>
    <t>NeedsParticipate</t>
  </si>
  <si>
    <t>NeedsParticpateWhich</t>
  </si>
  <si>
    <t>NeedsStaffDevelopment</t>
  </si>
  <si>
    <t>NeedsFutureDevelopment</t>
  </si>
  <si>
    <t>Abbrev</t>
  </si>
  <si>
    <t>Cat/code</t>
  </si>
  <si>
    <t>Gov9</t>
  </si>
  <si>
    <t>Gov10</t>
  </si>
  <si>
    <t>Gov11</t>
  </si>
  <si>
    <t>SUM</t>
  </si>
  <si>
    <t>Mem8</t>
  </si>
  <si>
    <t>Mem8e</t>
  </si>
  <si>
    <t>Mem8f</t>
  </si>
  <si>
    <t>Mem9</t>
  </si>
  <si>
    <t>Mem9c</t>
  </si>
  <si>
    <t>Mem9d</t>
  </si>
  <si>
    <t>Mem9e</t>
  </si>
  <si>
    <t>Mem11</t>
  </si>
  <si>
    <t>Mem11a</t>
  </si>
  <si>
    <t>Mem11b</t>
  </si>
  <si>
    <t>Mem11c</t>
  </si>
  <si>
    <t>Mem11d</t>
  </si>
  <si>
    <t>Mem11e</t>
  </si>
  <si>
    <t>Web1</t>
  </si>
  <si>
    <t>Web2</t>
  </si>
  <si>
    <t>Web3</t>
  </si>
  <si>
    <t>Web4</t>
  </si>
  <si>
    <t>Web5</t>
  </si>
  <si>
    <t>Web6</t>
  </si>
  <si>
    <t>Need1</t>
  </si>
  <si>
    <t>Need1a</t>
  </si>
  <si>
    <t>Need1b</t>
  </si>
  <si>
    <t>Need2</t>
  </si>
  <si>
    <t>Need3</t>
  </si>
  <si>
    <t>Need3a</t>
  </si>
  <si>
    <t>Need3b</t>
  </si>
  <si>
    <t>Need4</t>
  </si>
  <si>
    <t>Need5</t>
  </si>
  <si>
    <t>AR</t>
  </si>
  <si>
    <t>2 years</t>
  </si>
  <si>
    <t>3 seats for associate members (for profit), all other non profit</t>
  </si>
  <si>
    <t>a</t>
  </si>
  <si>
    <t>b</t>
  </si>
  <si>
    <t>d</t>
  </si>
  <si>
    <t>To serve as the collective voice promoting quality affordable housing and community economic development throughout Arkansas.  ACHANGE supports educations, provides training, encourages responsible growth and sustainability and participates in public policy debates. </t>
  </si>
  <si>
    <t>c</t>
  </si>
  <si>
    <t>surveys</t>
  </si>
  <si>
    <t>nonprofits are the only entities that pay</t>
  </si>
  <si>
    <t>scholarships slots</t>
  </si>
  <si>
    <t>achange</t>
  </si>
  <si>
    <t>Yes, Constant contact</t>
  </si>
  <si>
    <t>None</t>
  </si>
  <si>
    <t xml:space="preserve">Housing trust funds funding, changes to state finance agency policies, </t>
  </si>
  <si>
    <t>Yes, scholarships, internship pgm, prof dev for new and mid career professionals</t>
  </si>
  <si>
    <t>public sector funding is shrinking and doesn't look like its coming back</t>
  </si>
  <si>
    <t>National level seems to have turned in the right direction, but effect not felt at local level yet</t>
  </si>
  <si>
    <t>Funding and policies are not conducive to affordable housing at the local level</t>
  </si>
  <si>
    <t>Especially, tough regarding USDA rural development and credit regulations</t>
  </si>
  <si>
    <t>CA</t>
  </si>
  <si>
    <t>n/a</t>
  </si>
  <si>
    <t>no term limits</t>
  </si>
  <si>
    <t>geographic</t>
  </si>
  <si>
    <t>What is your organization’s web address?</t>
  </si>
  <si>
    <t>Does your organization use a Twitter handle? What is it?</t>
  </si>
  <si>
    <t>Does your organization use Facebook? Yes/No</t>
  </si>
  <si>
    <t>affordable housing creation, preservation of public housing, inclusionary zoning</t>
  </si>
  <si>
    <t>technical assistance to building skills in affordable housing</t>
  </si>
  <si>
    <t>CCEDA’s mission is to serve low moderate income individuals, families and communities in California by supporting organizations committed to community revitalization. The organization’s goal is to strengthen and build the capacity of community development organizations that would allow them to efficiently and effectively serve their communities and better leverage impacted communities they represent.</t>
  </si>
  <si>
    <t>f</t>
  </si>
  <si>
    <t>http://cceda.com/</t>
  </si>
  <si>
    <t>economic development, job training and creation, acceleragted business development</t>
  </si>
  <si>
    <t>already did  when we switched from just association duties to management consutling</t>
  </si>
  <si>
    <t>unable to sustain this currently with the staff we have currently</t>
  </si>
  <si>
    <t>developing junior people, succession planning</t>
  </si>
  <si>
    <t>those delivering services and doing deals</t>
  </si>
  <si>
    <t>Mixed, leaning wrong</t>
  </si>
  <si>
    <t>lost tax increment financing, need to find another financing source</t>
  </si>
  <si>
    <t>mixed, but leaning wrong</t>
  </si>
  <si>
    <t>Obama administration is making decisions I doesn't agree with and there are program cuts</t>
  </si>
  <si>
    <t xml:space="preserve">relying on developer fees, but can't build so no fees for us to bring in.  </t>
  </si>
  <si>
    <t>cuts in the budget</t>
  </si>
  <si>
    <t>3 consecutive terms, then termed out - must take year break</t>
  </si>
  <si>
    <t>human resources training, advocacy training, small business development and financing</t>
  </si>
  <si>
    <t>EBHO brings together community members, public officials, nonprofit housing developers, service providers, planners, professionals, and advocates.  Collectively, we're building a movement to ensure everyone has a safe, healthy, and affordable place to call home.</t>
  </si>
  <si>
    <t>e</t>
  </si>
  <si>
    <t>flexible scale for low income</t>
  </si>
  <si>
    <t>networking events</t>
  </si>
  <si>
    <t>http://www.ebho.org/</t>
  </si>
  <si>
    <t>EBHO_housing</t>
  </si>
  <si>
    <t xml:space="preserve">winning local funding for affordable housing, advocating for better local policies for affordable housing, finding solutions for gentrification and displacements </t>
  </si>
  <si>
    <t xml:space="preserve">cuts in home funds, no positive actions on the federal side </t>
  </si>
  <si>
    <t>must be majority of nonprofits</t>
  </si>
  <si>
    <t>website</t>
  </si>
  <si>
    <t>small vs large members based on number of staff (9 or less vs 10 or more since membership confers free or discounted entry to many events), also student and government rates</t>
  </si>
  <si>
    <t>organizational growth - need staff person and money - staff capacity, communication and contact capacity</t>
  </si>
  <si>
    <t>communications, coalition building (dealing with the politics- and builidng campaigns)</t>
  </si>
  <si>
    <t>communications and media, event management, finance/ budget training</t>
  </si>
  <si>
    <t>funders supporting in the San Fransisco Bay area, and generally doing well - but housing costs are so high - we're at a turning point</t>
  </si>
  <si>
    <t>not a conversation at the national level, hard to get attention to create positive communities, but there is some investment</t>
  </si>
  <si>
    <t>positive things in the budget, but prices are so expensive in SF, lost several state laws</t>
  </si>
  <si>
    <t>not part of the conversation</t>
  </si>
  <si>
    <t>3 years</t>
  </si>
  <si>
    <t>over 50% must be non profits</t>
  </si>
  <si>
    <t>creates affordable housing opportunities for low-income people by expanding the knowledge, capacity and influence of the nonprofit development sector.</t>
  </si>
  <si>
    <t xml:space="preserve">membership renewals </t>
  </si>
  <si>
    <t>external review of fees yearly</t>
  </si>
  <si>
    <t>public policy advocacy</t>
  </si>
  <si>
    <t>http://scanph.org/about</t>
  </si>
  <si>
    <t>scanph</t>
  </si>
  <si>
    <t>Wildapricot</t>
  </si>
  <si>
    <t>sp391 (state bill), housing credits, local public sector funding</t>
  </si>
  <si>
    <t xml:space="preserve">Fundraising, communications, </t>
  </si>
  <si>
    <t>congress can't pass anything</t>
  </si>
  <si>
    <t>No one stepping up to lead in the area</t>
  </si>
  <si>
    <t>leadership issues - president's budget starts with a cut in the programs we use</t>
  </si>
  <si>
    <t>2 consecutive terms</t>
  </si>
  <si>
    <t>Currently expired</t>
  </si>
  <si>
    <t>The Connecticut Housing Coalition works to expand housing opportunity and to increase the quantity and quality of affordable housing available to people with low and moderate incomes in Connecticut through advocacy, education and collaboration.</t>
  </si>
  <si>
    <t>membership renewals</t>
  </si>
  <si>
    <t>cthsgcoalition</t>
  </si>
  <si>
    <t xml:space="preserve">resources, staff (skills -better balance between affordable housing advocacy and familiarity with issues NACEDA members deal with(place based vs constituency based), expertise, new board members, new ways to train the board in community development for Delaware,  </t>
  </si>
  <si>
    <t>answered in previous question</t>
  </si>
  <si>
    <t xml:space="preserve">small state group-big disparity in urban and rural throughout the state </t>
  </si>
  <si>
    <t>recognition of certain problems, but not realistic solutions from community development</t>
  </si>
  <si>
    <t>resourcese, staff, expertise - but resources are the biggest need</t>
  </si>
  <si>
    <t>housing finance, communications, planning</t>
  </si>
  <si>
    <t>communications, emerging leaders</t>
  </si>
  <si>
    <t>focus on transit oriented development in Conneticut - reviving community development in Conneticut</t>
  </si>
  <si>
    <t>lesss focuc on community development - people don't know what it is and don't think about</t>
  </si>
  <si>
    <t>governor put .75 billion into affordable housing, its one of his top priorites</t>
  </si>
  <si>
    <t>president's social justice campaign has missed affordable housing</t>
  </si>
  <si>
    <t>DC</t>
  </si>
  <si>
    <t>3 terms, but can be extended by 2/3 vote</t>
  </si>
  <si>
    <t>no, not officially</t>
  </si>
  <si>
    <t>CNHED leads nonprofit community development organizations in ensuring that residents with low and moderate incomes have housing and economic opportunities in neighborhoods throughout the District of Columbia.</t>
  </si>
  <si>
    <t>advocacy campaigns</t>
  </si>
  <si>
    <t>training discounts</t>
  </si>
  <si>
    <t>http://www.cnhed.org/</t>
  </si>
  <si>
    <t>cnhed</t>
  </si>
  <si>
    <t>request for resources for affordable housing progams, home purchase policies in DC</t>
  </si>
  <si>
    <t>doing research or providing services to the public at large</t>
  </si>
  <si>
    <t>getting funds from the government - technical expertise in those areas</t>
  </si>
  <si>
    <t>association organization, how to serve members better, advocacy, member services, fundraising</t>
  </si>
  <si>
    <t>Yes, training for rising leaders</t>
  </si>
  <si>
    <t>gentrificaiton in DC makes work more difficult, but also makes the work more essential</t>
  </si>
  <si>
    <t>cuts in resources, elimination of Freddie and Fannie as sources of philanthropy</t>
  </si>
  <si>
    <t>Large resources are being devoted to afford housing ($100m), attention being paid to the topic</t>
  </si>
  <si>
    <t>housing (afford), econ dev policy</t>
  </si>
  <si>
    <t>YEs</t>
  </si>
  <si>
    <t>membership growth, technical assistance provision, “the arts”, financial empowerment</t>
  </si>
  <si>
    <t xml:space="preserve">resources, staff, expertise, </t>
  </si>
  <si>
    <t>gov relations, communitcations</t>
  </si>
  <si>
    <t>2k</t>
  </si>
  <si>
    <t>policy dev appears that county and local can be influenced</t>
  </si>
  <si>
    <t>don’t know</t>
  </si>
  <si>
    <t>local official can be inflenced</t>
  </si>
  <si>
    <t>To enhance and increase the development of housing that serves low and moderate-income households by strengthening the capacity of local not-for-profit housing organizations.</t>
  </si>
  <si>
    <t>Grants for training programs, internship grants so members can hire interns and future leaders</t>
  </si>
  <si>
    <t>http://www.handhousing.org/</t>
  </si>
  <si>
    <t>handhousing</t>
  </si>
  <si>
    <t>we have more of a regional focus</t>
  </si>
  <si>
    <t>membership growth, funding</t>
  </si>
  <si>
    <t xml:space="preserve">having strong communication plan, strenghening our programming and committees to enhance our trainings and programs </t>
  </si>
  <si>
    <t>more staff, fundraising</t>
  </si>
  <si>
    <t>fundraising, executive director group</t>
  </si>
  <si>
    <t>less duplication of work in the field makes it more focused</t>
  </si>
  <si>
    <t>national level groups are able to attract more money, but must ensure they're nimble and innovative</t>
  </si>
  <si>
    <t>DC has very high costs of home purchase and development costs, which makes our work much more important and helps to get funding</t>
  </si>
  <si>
    <t>Don't have an opinion on it, bc we're at a lower level</t>
  </si>
  <si>
    <t>4 seats from each county and 3 at large</t>
  </si>
  <si>
    <t>Promoting the empowerment and transformation of communities by ensuring equitable and sustainable housing for all Delawareans.</t>
  </si>
  <si>
    <t>courtesy announcements for member organizations</t>
  </si>
  <si>
    <t>very low income membership</t>
  </si>
  <si>
    <t>whynimby.org  @whynimby</t>
  </si>
  <si>
    <t xml:space="preserve">getting a rental assitance program started and funded, housing for people with disabilities, fair housing (make income a protected category in housing applications) </t>
  </si>
  <si>
    <t xml:space="preserve">emphasis on community development for a sound affordable housing strategy, technical assistance w/ local communities, white paper on community development in Delaware, </t>
  </si>
  <si>
    <t>state budgets (homelessness and supportive services), federal (HUD ) budget - national housing trust fund, increasing revenue for the state (focusing on personal income tax)</t>
  </si>
  <si>
    <t>no, have lobbyist on staff</t>
  </si>
  <si>
    <t>expand training and tech assistance, expand staff to support funding collaborations, trying to become a regional HUD intermediary, diversify revenue by bringing in more fee for service and increase administration fees (Americorps program) - which will bring added value to members</t>
  </si>
  <si>
    <t>resources to hire the staff</t>
  </si>
  <si>
    <t>Method of elections and the money required to run for office is hurting community development, as well as recent supreme court decisions regarding campaign finance</t>
  </si>
  <si>
    <t>Governor is focusing on affordable housing and ensuring its funded in the budget, worked for rental assitance pgms and vouchers</t>
  </si>
  <si>
    <t>simply worried</t>
  </si>
  <si>
    <t>3 consectutive</t>
  </si>
  <si>
    <t>voting members and affiliate members, but only 3 affiliates - bankers, a majority must be non profits</t>
  </si>
  <si>
    <t>Florida Alliance of Community Development Corporation's mission is to secure the financial well-being and future of low- and moderate-income people by advancing the housing, economic development and community building strategies of Florida's nonprofit organizations.</t>
  </si>
  <si>
    <t>the state community contribtion tax credit, state community trust fund and federal issues</t>
  </si>
  <si>
    <t>doesn't want to say - separate entity</t>
  </si>
  <si>
    <t>resources, expertise, staff</t>
  </si>
  <si>
    <t>media marketing, making non-traditional connections (connect non profits to corporations)</t>
  </si>
  <si>
    <t>it depends on the expertise of the session presenter</t>
  </si>
  <si>
    <t>no recognition of the industry</t>
  </si>
  <si>
    <t>as advocates we may be arguring from the wrong position - we need to bring factual information</t>
  </si>
  <si>
    <t>community is more than houses</t>
  </si>
  <si>
    <t>just wrong</t>
  </si>
  <si>
    <t>South Florida Communtiy Development Coalition</t>
  </si>
  <si>
    <t>yes, about 2/3 in industry of CD</t>
  </si>
  <si>
    <t>don't know</t>
  </si>
  <si>
    <t>170k</t>
  </si>
  <si>
    <t>15k</t>
  </si>
  <si>
    <t>35k</t>
  </si>
  <si>
    <t>102k</t>
  </si>
  <si>
    <t>10k</t>
  </si>
  <si>
    <t>8k</t>
  </si>
  <si>
    <t>http://www.southfloridacdc.org/</t>
  </si>
  <si>
    <t>eventbrite, surveymonkey, hoodsuite</t>
  </si>
  <si>
    <t>grant station discount, low cost capacity building and training</t>
  </si>
  <si>
    <t>incommdev</t>
  </si>
  <si>
    <t>abandonded housing, public transit, defense of key programas</t>
  </si>
  <si>
    <t>financial intermediary</t>
  </si>
  <si>
    <t>captial resources, track record of success</t>
  </si>
  <si>
    <t>real estate development (transactional work - good at policy, but need deal skills), grant making and lending, leadership development and communicating the different between technical skills and community skills to lead a community and develop it</t>
  </si>
  <si>
    <t>membership renewal notices</t>
  </si>
  <si>
    <t>foreclosures, predatory lending</t>
  </si>
  <si>
    <t>Communications, fundraising, federal programs</t>
  </si>
  <si>
    <t>no strong infrastructure for community development in Georgia</t>
  </si>
  <si>
    <t>The regulations of HUD regarding home program and reduction in resources by congress and the administrations</t>
  </si>
  <si>
    <t>More of an emphasis on veterans housing</t>
  </si>
  <si>
    <t>Reduction in appropriations at federal level</t>
  </si>
  <si>
    <t>CDC are 75%</t>
  </si>
  <si>
    <t>For 30 years, the Chicago Rehab Network (CRN) has worked to further the development and preservation of safe affordable housing in Chicago, and throughout the state of Illinois. CRN builds capacity of community developers through training and technical assistance.</t>
  </si>
  <si>
    <t>reports and analysis</t>
  </si>
  <si>
    <t>has never changed in 18 years</t>
  </si>
  <si>
    <t xml:space="preserve"> Yes</t>
  </si>
  <si>
    <t>http://www.chicagorehab.org/aboutCRN/index.htm</t>
  </si>
  <si>
    <t>ChiRehabNetwork</t>
  </si>
  <si>
    <t>resources, building the field (leadership and institutions), preserving housing in gentrifying areas</t>
  </si>
  <si>
    <t>fundraising, communication</t>
  </si>
  <si>
    <t>fundraising, training</t>
  </si>
  <si>
    <t>role of non profit is fundamental; need more local organizations</t>
  </si>
  <si>
    <t>no housing production program for a generation</t>
  </si>
  <si>
    <t>same as community development</t>
  </si>
  <si>
    <t>split between Chicago metro and then the rest from Illinois</t>
  </si>
  <si>
    <t>To increase and preserve the supply of decent, affordable, accessible housing in Illinois for low-and moderate-income households.</t>
  </si>
  <si>
    <t>housingactionil</t>
  </si>
  <si>
    <t>time management (because we're statewide we need to prioritize our commitments better), how to facilitate meetings, how to think about evaluating program activity (are our trainings effective - how do we measure impact?)</t>
  </si>
  <si>
    <t>(previously had a midwestern regional meeting), they particpate in NACEDA advocacy calls</t>
  </si>
  <si>
    <t>Mixed</t>
  </si>
  <si>
    <t>Depends on where you're located in Illinios - not sure how get resources to problem areas</t>
  </si>
  <si>
    <t>national policies on community development and recovery efforts are timid, some areas need more help and elected officials are too timid, HUD budget was cut (no dollars in communities, then private market will miss it)</t>
  </si>
  <si>
    <t xml:space="preserve">we have unique resources bc of attorney general national foreclosure settlement , attorney general committed to reinvest 100 mil into comm reinvestment, </t>
  </si>
  <si>
    <t>Good effort being made, but national advocates are fighting amongst themselves (reform bill for fannie and freddie and now bill delayed), HUD budget cuts being proposed</t>
  </si>
  <si>
    <t>3 terms of 3years</t>
  </si>
  <si>
    <t>60% of board must be voting members that are 501c3's</t>
  </si>
  <si>
    <t>new research, surveys</t>
  </si>
  <si>
    <t>determined by payroll</t>
  </si>
  <si>
    <t xml:space="preserve">group sponsored property insurance, policy work, scholarships for training, </t>
  </si>
  <si>
    <t>masscdcs</t>
  </si>
  <si>
    <t>CRM type thing NEON but moving to salesforce - and use constant contact for emails</t>
  </si>
  <si>
    <t>funding for small business technical asstance, brownfields funding (Massachusetts program providing money for building development), rental assistance funding</t>
  </si>
  <si>
    <t>training and tech asstance, vision for comprehnsice community development</t>
  </si>
  <si>
    <t>The Indiana Association for Community Economic Development (IACED) supports a network of organizations that builds vital communities and resilient families. We advocate for public policies and assist the network in developing comprehensive solutions that engage local leadership to generate private and public investment.</t>
  </si>
  <si>
    <t>affintinty groups - communities of practice</t>
  </si>
  <si>
    <t>flat fee, but request another donation based on operating budget</t>
  </si>
  <si>
    <t>trainig and technical assistance - how and what my colleagues are doing, track our impact better, curriculum that might be available to help us, Contact management (when to contact members and who to contact within that organization), managing data, other models of earned revenue</t>
  </si>
  <si>
    <t xml:space="preserve">training and tech assitance, policy groups (state level), affordable housing policy, </t>
  </si>
  <si>
    <t>progressive mayor and governor who like and admire CDCs major new initiative that will generate money for our members, able to win policy victories in the state house</t>
  </si>
  <si>
    <t>member management, policy advocacy, movement building, training facilitatiion, leadership, organizational management</t>
  </si>
  <si>
    <t>lack of commitment to understanding what it takes to build a community and lack of funding</t>
  </si>
  <si>
    <t>Congress has lack fo understanding fo multidiscilinary strategys to change at community level</t>
  </si>
  <si>
    <t>key sources of rev are under threat</t>
  </si>
  <si>
    <t>Same reason</t>
  </si>
  <si>
    <t>LA</t>
  </si>
  <si>
    <t>two 3 year terms and another w/ unanimous consent</t>
  </si>
  <si>
    <t>1 consumer, 9 for geographic areas, the rest at large</t>
  </si>
  <si>
    <t>LHA is a nonprofit statewide coalition which works to ensure the preservation and production of quality affordable housing for low and moderate income Louisianans and those with special needs.</t>
  </si>
  <si>
    <t>general FYI's</t>
  </si>
  <si>
    <t>facilitate a reduced cost scholarship for neighborworks, public relations and marketing information</t>
  </si>
  <si>
    <t>alliancela</t>
  </si>
  <si>
    <t>landlords and tenants</t>
  </si>
  <si>
    <t>Technical assistance and training</t>
  </si>
  <si>
    <t>Resources, staff, expertise</t>
  </si>
  <si>
    <t>Getting people to engage and keep them engaged</t>
  </si>
  <si>
    <t>municipal and regional assocation, fundraising</t>
  </si>
  <si>
    <t>No history of communtiy development here; it’s a new field, no infrastructure to support the work and difficult to build</t>
  </si>
  <si>
    <t>Continual cuts in resources</t>
  </si>
  <si>
    <t>No history of communtiy dev here; it’s a new field, no infrastructure to support the work and difficult to build</t>
  </si>
  <si>
    <t>Some good but shift in cuts to resources</t>
  </si>
  <si>
    <t>All seats for CDCs and geographic requirements</t>
  </si>
  <si>
    <t>membership in a statewide organization</t>
  </si>
  <si>
    <t>cdad-online.org</t>
  </si>
  <si>
    <t>cdaddetroit</t>
  </si>
  <si>
    <t>community development block grants, community benefits agreements, community advisory councils</t>
  </si>
  <si>
    <t>Revenue stream</t>
  </si>
  <si>
    <t>Expertise</t>
  </si>
  <si>
    <t>Fundraising, marketing/media communications, board development</t>
  </si>
  <si>
    <t>funding design in not helpful- always chasing money</t>
  </si>
  <si>
    <t>N/A</t>
  </si>
  <si>
    <t>not tapped into the national network</t>
  </si>
  <si>
    <t>glut of vacant housing in detroit</t>
  </si>
  <si>
    <t>3 consectutive terms</t>
  </si>
  <si>
    <t>2 from each of 6 regions and 2 at large</t>
  </si>
  <si>
    <t>CEDAM enhances the effectiveness and capacity of our members by providing a statewide voice and forum for community building and community-based economic development. We synthesize and share information, enabling our members to resolve local challenges.</t>
  </si>
  <si>
    <t xml:space="preserve">blogs, videos of tv shows and training videos informaitonal (EIC), </t>
  </si>
  <si>
    <t>statewide media list, opportunity to serve on committes and boards, grant station</t>
  </si>
  <si>
    <t>cedaminfo</t>
  </si>
  <si>
    <t>The Massachusetts Association of Community Development Corporations (MACDC) is an association of mission-driven community development organizations dedicated to working together and with others to create places of opportunity where people of diverse incomes and backgrounds access housing that is affordable, benefit from economic opportunities and fully participate in the civic life of their community. We achieve this by building and sustaining a high performing and adaptive community development sector that is supported by private and public investment and sound public policies. - See more at: http://www.macdc.org/mission-vision-values#sthash.LbiJ41Ac.dpuf</t>
  </si>
  <si>
    <t>money, but staff expertise and leadership (in community development and health)  need someone immersed in health who is building relationships full time in this area, small business development as well - must have focused attention</t>
  </si>
  <si>
    <t>maintaing funding for community development, identify avenues for increasing community development and reduce costs, support small business development and success</t>
  </si>
  <si>
    <t>getting postive traction at local level, investing around light rail, doing holistic community development</t>
  </si>
  <si>
    <t>feds cutting all the funding</t>
  </si>
  <si>
    <t>some success and state investing 100m in affordable housing</t>
  </si>
  <si>
    <t>feds cutting budget</t>
  </si>
  <si>
    <t>MO</t>
  </si>
  <si>
    <t>terms are staggered</t>
  </si>
  <si>
    <t>civic capacity and organizational capacity chair committees typically on the board</t>
  </si>
  <si>
    <t>n/a - no turnover on the board yet, because the organization was just formed in 2011</t>
  </si>
  <si>
    <t>massive budget cuts and shredding of safety net, even when money steered toward our field its not going to place based community development - going to larger non profits, nationally competitive non profit funding pools are very hard for small non profits to break into</t>
  </si>
  <si>
    <t>Housing is recognized as a major issue in Mass, head of affordable housing at state level is great advocate, government is trying to do work in this area</t>
  </si>
  <si>
    <t>eliminating the 202 program was bad, cuts to section 8 was bad, focus on the interest tax credit is hurting us on the whole, federal government response to inventory of foreclosed property</t>
  </si>
  <si>
    <t>Only for officer positions</t>
  </si>
  <si>
    <t>http://www.communitybuildersstl.org/</t>
  </si>
  <si>
    <t>cbnstl</t>
  </si>
  <si>
    <t xml:space="preserve">possibly grow - determine whether we'll open up to bankers, planning department of city </t>
  </si>
  <si>
    <t>commitment on behalf of members to a new direction and continue to grow, resources, staff</t>
  </si>
  <si>
    <t>fundraising, ability to connect with business community in a meaningful way (networking)</t>
  </si>
  <si>
    <t>As the Detroit trade association of community development organizations, CDAD enhances the capacity and effectiveness of Detroit’s CDOs, other community-based organizations and initiatives, and Detroit residents through advocacy, training, technical assistance, information sharing, education, xpanding financial resources , and facilitating common action.</t>
  </si>
  <si>
    <t>low income membership</t>
  </si>
  <si>
    <t>its weak - previously tax credits were integral and the state's trying to peel them back and decreasing them, st louis is being forced by HUD to get better at using what we have</t>
  </si>
  <si>
    <t>vibrant neighborhoods, economic opportunity, housing security</t>
  </si>
  <si>
    <t>basic organizational management, best practices with tools (platform software) grant writing to national funders</t>
  </si>
  <si>
    <t>membership, communications, fundraising</t>
  </si>
  <si>
    <t>getting rid of tax credits for development properties, and get rid of tax credits for entitlements, two heart beats (two people for each bedroom for each voucher given), conservative legislature that focuses on big business, anything called a tax credit is bad</t>
  </si>
  <si>
    <t>difficult to get anything out of congress, ACA is a good move, but possible elimination of tax credits for low and moderately income families</t>
  </si>
  <si>
    <t>3 consectutive terms and return after 1 year absent</t>
  </si>
  <si>
    <t>Full members, Only 1/3 of board can be for profit and other non CDC entities</t>
  </si>
  <si>
    <t>Vouchers are helpful, priorities on mixed use and mixed income developments, focus on on affordable housing incorp into dev</t>
  </si>
  <si>
    <t>tax reform and sequestration</t>
  </si>
  <si>
    <t>MN</t>
  </si>
  <si>
    <t>http://www.hcdnnj.org/</t>
  </si>
  <si>
    <t>athcdnnj</t>
  </si>
  <si>
    <t>foreclosures, hurricane sandy recovery, budget issues</t>
  </si>
  <si>
    <t>be more visible (historically quiet - promote the network itself), diversify funding for the organization</t>
  </si>
  <si>
    <t>need another development person and resources to pay them</t>
  </si>
  <si>
    <t>community development for executive director, time management</t>
  </si>
  <si>
    <t>limited to reps our members, try to balance afford housing and comm dev, gender, ethnicity</t>
  </si>
  <si>
    <t>MCCD is an association through which community developers strive to advance their shared mission: “To work collectively to build strong stable communities by leveraging resources for the development of people and places.”</t>
  </si>
  <si>
    <t>job postings, member updates</t>
  </si>
  <si>
    <t>mmcd_mn</t>
  </si>
  <si>
    <t xml:space="preserve">The Community Builders Network of Metro St. Louis (CBN) is an association of community building nonprofits working to build vibrant neighborhoods where people of different incomes, races, and walks of life can access the opportunities and resources necessary for a good life. We believe that strong neighborhoods help to build a stronger and more competitive regional economy. CBN works towards these goals by: increasing the capacity of member organizations, developing a more supportive community building system, raising public awareness of the need and importance for community building
</t>
  </si>
  <si>
    <t>news, updates</t>
  </si>
  <si>
    <t>no dues in place at this time, will be discussing it at the next meeting</t>
  </si>
  <si>
    <t xml:space="preserve">providing a collective voice </t>
  </si>
  <si>
    <t>capital funding, administration funding for affordable housing nonprofits, regulation reauthorizations</t>
  </si>
  <si>
    <t>do more policy analysis and advocacy</t>
  </si>
  <si>
    <t>resources and stafffing</t>
  </si>
  <si>
    <t>more transparent grant processes (external reviewers), investment for community based funding, larger pools of funder that organizations can apply to do serious community development, raise awareness in the philanthropic community</t>
  </si>
  <si>
    <t>we continue to have state funds for affordable housing and comm dev, but room for improvement cuomo loves to spend</t>
  </si>
  <si>
    <t>some officials are headed in the right direction but others are holding us back, president is heading in right direction</t>
  </si>
  <si>
    <t>How to connect local/regional associations with national funders (how integrate with national funders), how to manage competing demands on time, how other organizations were connected to key members of the community, how to make the argument and win that community development is important and matters, how other organizations their network in a sustainable way their community development system, what policies or practices or forums they participate in to advance their organization, what policies/conversations have paid off</t>
  </si>
  <si>
    <t>foreclosure resources for housing counselors, voting rights, zoning and housing</t>
  </si>
  <si>
    <t>TBD</t>
  </si>
  <si>
    <t>Funding, research</t>
  </si>
  <si>
    <t>Fundraising, executive coaching and development, succession planning, communications</t>
  </si>
  <si>
    <t>thinking about neighborhoods and place based strategies are being thought about and getting better, federal policies need to be more integrated to benefit more industrial cities</t>
  </si>
  <si>
    <t>Robust tax credit system, last year was constantly under attack, affordable housing trust fund has been capped - could be better and the current direction is headding in the right direction</t>
  </si>
  <si>
    <t>We're very focused on the local level - making places affordable isn't the problem, its an income problem</t>
  </si>
  <si>
    <t>up to 5 non-voting (non CDC members) - as long as at least 10 voting members (must have 10 voting members)</t>
  </si>
  <si>
    <t>to enhance the ability of members to create and preserve long-term affordable housing and build strong communities in New Jersey through: Networking and Support Services, Capacity Building and Resource Development, Education and Public Policy Advocacy.</t>
  </si>
  <si>
    <t>The Ohio CDC Association is a statewide membership organization of Community Development Corporations that engages in capacity-building, advocacy and public policy development that fosters socially and economically healthy communities.</t>
  </si>
  <si>
    <t>regional groups, executive director level interaction, training provision, commicutions, data management, research , across policy issues, fundraising, land banks</t>
  </si>
  <si>
    <t>Yes, restart housing scholarhips</t>
  </si>
  <si>
    <t>legislators want to elimate the state housing tax credit</t>
  </si>
  <si>
    <t>HUD budget getting cut</t>
  </si>
  <si>
    <t>legislator want to elimate the stat housing tax creadt</t>
  </si>
  <si>
    <t>NY</t>
  </si>
  <si>
    <t>all but 2 seats must be filled by CHDO and neighborhood preservation associations, the other 2 seats can be filled by invested stakeholders</t>
  </si>
  <si>
    <t>when contrasted to falling off the rails, members have been reinventing themselves, easy to be bummed out by budget cuts - but worst is behind us and we're still here.  Good is being done.</t>
  </si>
  <si>
    <t>Federal budget contracted, community development got whacked a lot more than other areas (homelessness, poverty)</t>
  </si>
  <si>
    <t>good non profit and for profit in OH, and a good syndicator in Oh that does a lot for CDCs and investing in communities</t>
  </si>
  <si>
    <t>Federal budget issue, home programs have been getting whacked, HUD getting whacked</t>
  </si>
  <si>
    <t>OR</t>
  </si>
  <si>
    <t>2008 (older two were started in 1995; we're from a merger)</t>
  </si>
  <si>
    <t>no limits</t>
  </si>
  <si>
    <t>The purpose of the Coalition is to unify the state’s community-based organizations in order to build broad support for their neighborhood revitalization activities and to improve their effectiveness.  Our goal is to build a statewide network of well-supported and effective community-based organizations that are creating positive change in each neighborhood that is struggling with disinvestment, poverty, and abandonment</t>
  </si>
  <si>
    <t>policy blasts, news clippings</t>
  </si>
  <si>
    <t xml:space="preserve">communications, </t>
  </si>
  <si>
    <t>assocation management, public policy working group</t>
  </si>
  <si>
    <t>policy changes are changing to our favor, new mayor Bill de Blasio</t>
  </si>
  <si>
    <t xml:space="preserve">gridlock in congress </t>
  </si>
  <si>
    <t>3/5 of board are practitioner led organizations, 1/5 are corporate and business stakeholders, 1/5 associate member (community based organizationss or others)</t>
  </si>
  <si>
    <t>NCACDC works with CDCs (community development corporations) and other community-based organizations in neighborhoods all across NC to bring citizens, business people and elected officials together to solve the state's most pressing economic challenges. By working with our members to meet market needs, we promote the usefulness and agility of this network of community-led and controlled organizations and ensure that the North Carolina’s rich and flexible infrastructure is fully engaged in strengthening the state's economy. </t>
  </si>
  <si>
    <t xml:space="preserve">technical assistance, fundraising (revenue development), </t>
  </si>
  <si>
    <t>state politics are good, affordability of housing is becoming a concern (at the top of the minds of everyone), connecting housing to education and healthcare</t>
  </si>
  <si>
    <t>congress, republican congress stopping everything</t>
  </si>
  <si>
    <t>same as affordable housing</t>
  </si>
  <si>
    <t>geographic distribution and for profits can't be a majority</t>
  </si>
  <si>
    <t>The Housing Alliance is a statewide coalition working to provide leadership and a common voice for policies, practices and resources to ensure that all Pennsylvanians, especially those with low incomes, have access to safe, decent and affordable homes.  We promote common-sense solutions to balance Pennsylvania's housing market and increase the supply of safe, decent homes for low-income people.</t>
  </si>
  <si>
    <t>housingalliancepa.org</t>
  </si>
  <si>
    <t>pahousing</t>
  </si>
  <si>
    <t>expand state housing trust fund, revenue related priorities (create an affordable housing tax credit)</t>
  </si>
  <si>
    <t>Maybe</t>
  </si>
  <si>
    <t>Municipal/regional association, advocacy</t>
  </si>
  <si>
    <t>In North Carolina the politics have changed, CDBT dollars have been redirected into infrastructure development, state policies from the legislature is looking to privatize community development</t>
  </si>
  <si>
    <t>More conducive national regulators than at local level</t>
  </si>
  <si>
    <t>dollars have been redirected into infrastructure dev</t>
  </si>
  <si>
    <t>Unsure</t>
  </si>
  <si>
    <t>Changes at HUD are TBD to see what changes will mean</t>
  </si>
  <si>
    <t xml:space="preserve">2 years </t>
  </si>
  <si>
    <t>can service 2 years on board, 1 year as an officer</t>
  </si>
  <si>
    <t>subgrant Americorp Vistas, IDAs, microenterprise grants, technical asstance grants (hire a consultant for a project)</t>
  </si>
  <si>
    <t>ohiocdc.org</t>
  </si>
  <si>
    <t>neighborhood tax credits, housing trust fund, micro enterprise funding</t>
  </si>
  <si>
    <t>micro enterpise is becoming a big are of our organization, more on policy, branding the industry</t>
  </si>
  <si>
    <t xml:space="preserve">Resources and staff </t>
  </si>
  <si>
    <t>grants, grant management, advocacy, volunteer recruitment and management</t>
  </si>
  <si>
    <t>policy, programs (training, subgranting), branding, membership</t>
  </si>
  <si>
    <t>PACDC is dedicated to advocacy, policy development and technical assistance for community development corporations and other organizations in their efforts to rebuild communities and revitalize neighborhoods. Through our policy and advocacy work, we strive to create a more supportive environment for community development activities and to enable our members to more effectively meet the needs of lower income residents and advance neighborhood revitalization. In addition, we aim to build the capacity of CDCs through resource and information delivery, a sharing of ideas and practices among CDCs, technical assistance, and promotion of the community development industry</t>
  </si>
  <si>
    <t>mailing an annual magazine highlighting our work and member work, annual housing trust fund report, resource guide, other types of reports (impact of CDCs, tax cutter report)</t>
  </si>
  <si>
    <t>flat fee for associate members, CDC's depends on their operating budget</t>
  </si>
  <si>
    <t xml:space="preserve">ccess to data on property within the city </t>
  </si>
  <si>
    <t>phillycdcs</t>
  </si>
  <si>
    <t>all seats reserved for voting members, (voting member must be nonprofit or housing authority or comm action agency engaged in comm dev)</t>
  </si>
  <si>
    <t>no expirations date</t>
  </si>
  <si>
    <t xml:space="preserve">Oregon Opportunity Network (Oregon ON)’s mission is to support and strengthen our members through advocacy, communications, peer learning, and best practices development. </t>
  </si>
  <si>
    <t>number of employees</t>
  </si>
  <si>
    <t>policy and advocacy</t>
  </si>
  <si>
    <t>http://oregonon.org/</t>
  </si>
  <si>
    <t>oregonon</t>
  </si>
  <si>
    <t>always changing- capturing resources for affodable housing, creating a more friendly operating environment for our members, intersection of health care and housing, getting small jurisdictions to adopt affordable housing tools, getting equity issues integrated into our work</t>
  </si>
  <si>
    <t>add more fee for service items (technical assistance), hosting fee for attendance trainings, develop policy and research paper with the local university</t>
  </si>
  <si>
    <t xml:space="preserve">development of white papers, social media, offering technical assistance, </t>
  </si>
  <si>
    <t>Yes, but naceda's in DC</t>
  </si>
  <si>
    <t>Provide a forum for communication and resource-sharing among non-profit housing developers and others who support their goals; identify resources and create delivery systems to build the organizational and technical capacity of nonprofits; promote policies and programs that facilitate the development and preservation of affordable housing by non-profits; and increase public awareness of non-profit housing corporations as important tools in addressing Rhode Island’s housing and community economic development needs.</t>
  </si>
  <si>
    <t>local information for members (government policies), issue based communications</t>
  </si>
  <si>
    <t>Financial environment is tough, hard to raise money</t>
  </si>
  <si>
    <t>Not much there at the national level, congress is at a stalemate, traditional sources of funding has dried up and not been replaced, Policies are not support community development, not public dialogue about community development</t>
  </si>
  <si>
    <t>Our advocacy is working and pour policies are being adopted - progress is being made and providing leadership</t>
  </si>
  <si>
    <t>Much more attention to data and impact, loss of CDBG has been bad, but it focuses ppl on the missiond and demonstrating relevance, there should be more of a national dialogue on these issues, don't worry about it being bad - figure out how to make things work, people are retiring paving the way for new blood and innovation</t>
  </si>
  <si>
    <t>9 of 15 must be filled by CDCs</t>
  </si>
  <si>
    <t>expand the pie of resources (housing trust fund, general funding, economic development), improving programs or advancing system change (to community development systems; create Philadelphia land bank, new zoning code adopted), affordable housing, economic development, equitable development</t>
  </si>
  <si>
    <t>Need more staff (only have 6 now)</t>
  </si>
  <si>
    <t>Public relations, advocacy strategy, fundraing planning (must find more resources, and align our goals with funders' goals)</t>
  </si>
  <si>
    <t>3 terms, 2 year break, then able to serve again</t>
  </si>
  <si>
    <t>community development organizations are voting members, up to 1/3 of board can be non-voting members</t>
  </si>
  <si>
    <t>best practices in training and technical assistance (business models and marketing), opportunity to communicate with leaders in other organizations, communicate with other city CDC organizations (different in state and city organizations - opportunity for executive director and policy director to interact with other city based organizations), HR directors cross talking, database and website controllers would like to crosstalk</t>
  </si>
  <si>
    <t xml:space="preserve">able to create land bank with the city, new legisatlion coming for housing </t>
  </si>
  <si>
    <t>seems that we're fighting congress trying to cut critical programs president supports cuts in those programs as well</t>
  </si>
  <si>
    <t>homes ownership development is moving in the right direction</t>
  </si>
  <si>
    <t>potential for changing direciton if national land grant bills, but CDBG funding being cute</t>
  </si>
  <si>
    <t>get from bylaws</t>
  </si>
  <si>
    <t>5 executive directors, 2 others that are not executive directors</t>
  </si>
  <si>
    <t>congress is gridlocked</t>
  </si>
  <si>
    <t>2 consectutive then rotate off for a year</t>
  </si>
  <si>
    <t>reserved for CED orgs from urban and rural, designated seats bankers</t>
  </si>
  <si>
    <t>TACDC improves the lives of low and moderate income Texans by strengthening the capacity of community development organizations as well as generating resources and relationships that enhance and sustain the community development industry in Texas.</t>
  </si>
  <si>
    <t>TXcdc</t>
  </si>
  <si>
    <t>Through our network of members and partner organizations, SCACDC strives to improve the quality of life for low wealth families and communities by advancing the community economic development industry in South Carolina. SCACDC achieves this through capacity building and attracting public-private investment to local community economic development organizatins, as well as influencing the public policy process in South Carolina.</t>
  </si>
  <si>
    <t>member renewals, op ed/thought pieces, grant anouncements, policy alerts</t>
  </si>
  <si>
    <t>associate members have a different rate, students, and universities</t>
  </si>
  <si>
    <t>pass through grants</t>
  </si>
  <si>
    <t>http://www.communitydevelopmentsc.org/</t>
  </si>
  <si>
    <t>commdevsc</t>
  </si>
  <si>
    <t>state legislation South Carolina community development act (must advocate for appropriation of funds), appropriations for CDC CDFI, state earned income tax credit, micro enterpise development in the state, solar leasing bill (give home owners access solar power and bypass utilities)</t>
  </si>
  <si>
    <t>desire to have deals (development deals) for members, work in communities with member to revitalize neighborhoods</t>
  </si>
  <si>
    <t>Need to bring other members in with expertise in the field, technical capacity, financial capacity, engaging policy makers at local level</t>
  </si>
  <si>
    <t>more sophiticated financing structure, new market tax credits, fund development from high net worth donors, social venture partnership sector</t>
  </si>
  <si>
    <t>not impressed with the leadership fro afford housing at the state level, housing finance agency making it diff for afford housing to prosper, instead they make life easier for for-profit housing leaders.</t>
  </si>
  <si>
    <t>policies at state level are built federal policies</t>
  </si>
  <si>
    <t>TN</t>
  </si>
  <si>
    <t>Affordable housing development, board development, succession planning</t>
  </si>
  <si>
    <t>Econonmic development finance professionals, compliance regulation, organization development (how to run non profit, utilization fo a housing tax credit)</t>
  </si>
  <si>
    <t>The Community Development Council of Greater Memphis supports the revitalization of Memphis  neighborhoods through public policy development and advocacy, organizational capacity building, and community education. We accomplish this through: promoting comprehensive plan-based neighborhood revitalization, especially in the areas of physical, economic, and human capital development; empowering neighborhood-based organizations through a network of support and assistance; representing and advocating for the interests of its members and the neighborhoods they represent; securing resources and building partnerships, to support the work of community development; and promoting public policies that will reduce the barriers to neighborhood revitalization and improve the quality of life for residents.</t>
  </si>
  <si>
    <t>notice of upcoming member meetings, member information</t>
  </si>
  <si>
    <t>scholarships, small peer networks within our organization</t>
  </si>
  <si>
    <t>http://memphiscommunitydevelopment.com/ and livablememphis.org</t>
  </si>
  <si>
    <t>livablememphis</t>
  </si>
  <si>
    <t>preserving rent restricted rental housing, more funding for affordable housing</t>
  </si>
  <si>
    <t>funding is extremely difficult</t>
  </si>
  <si>
    <t>small staff so its hard to take on additional work, social media</t>
  </si>
  <si>
    <t>best practices in other states</t>
  </si>
  <si>
    <t>Not much</t>
  </si>
  <si>
    <t>Yes, partnership with a local university, ( roger williams univeristy)</t>
  </si>
  <si>
    <t xml:space="preserve">very little support from general assembly </t>
  </si>
  <si>
    <t>congress has backed away from funding community development</t>
  </si>
  <si>
    <t>general assembly is not interested, despite our work</t>
  </si>
  <si>
    <t>no funding at all locally for affford housing and not a priority</t>
  </si>
  <si>
    <t>funding is insfufficient</t>
  </si>
  <si>
    <t>all but 3 must be CDC members and 3 at large</t>
  </si>
  <si>
    <t>Governance and nonprofit management, some development oriented training, give scholarship dollars so member can find their own training too, fundraising</t>
  </si>
  <si>
    <t>Dow to create a CDC through asset management, partner with trainers to bring training for our members</t>
  </si>
  <si>
    <t>Technical Asst</t>
  </si>
  <si>
    <t>Areas</t>
  </si>
  <si>
    <t>Enterprise creation through their contracts, local government reorganization, housing</t>
  </si>
  <si>
    <t>additional funding to state housing trust funding, tax ememption for CHDOs, state agency reform, payday and predatory lending reform</t>
  </si>
  <si>
    <t>expand into direct services (group purchasing program), health care group programs for a discount to members, broaden research capabilities</t>
  </si>
  <si>
    <t>Fundraising, contact with right people at right bank foundations, expand staffing as well</t>
  </si>
  <si>
    <t>time management, communications best practices, personnel management</t>
  </si>
  <si>
    <t>executive directors and office managers, grants manager (development side - fundraising)</t>
  </si>
  <si>
    <t>Yes, scholarship pgm through neighborworks to send young profesionals to a training institiute, scholarships to come to our conference</t>
  </si>
  <si>
    <t>Political and funding</t>
  </si>
  <si>
    <t>funding is wrong, but accomplishment is heading in right direction - community development organizations are finding ways to have an impact and diversify and taking a broaden their work</t>
  </si>
  <si>
    <t xml:space="preserve">Political climate leads to a lack of funding </t>
  </si>
  <si>
    <t>regional peer group that understand political and economics in the south, peer group brining innovation to community development, health care and its connection to community development, health food access</t>
  </si>
  <si>
    <t>Yes, formalizing a relationship with school of law in charleston and school of social at U of South Carolina</t>
  </si>
  <si>
    <t>putting CED on the policy radar of officials, but still needs work</t>
  </si>
  <si>
    <t>Right, but at risk</t>
  </si>
  <si>
    <t>may lose what we've gained and not enough effort advance us in new direstions</t>
  </si>
  <si>
    <t>Capacity building (fundraising, social media, governance)</t>
  </si>
  <si>
    <t>Workshops on performance management, rehab construction training, access to capital, neighborhood stabilizaiton</t>
  </si>
  <si>
    <t>Affordable housing regulations, one CDC provider for a national provider, strategic planning, property tax exemption for non profits</t>
  </si>
  <si>
    <t>Conferences</t>
  </si>
  <si>
    <t>Research</t>
  </si>
  <si>
    <t>Topic</t>
  </si>
  <si>
    <t>How to do a deal - guidebooks, dictionary of jargon, exemplary practices</t>
  </si>
  <si>
    <t>Community benefits concepts, foreclosure solutions</t>
  </si>
  <si>
    <t>Housing finance or land use policy</t>
  </si>
  <si>
    <t>Real estate development, economic development, community organizing, organization devdelopment (board development, strategic planning), mentoring program</t>
  </si>
  <si>
    <t>real estate development training, basic organization training, counseling training, strategic planning, property mangement, legal structures, place making</t>
  </si>
  <si>
    <t xml:space="preserve">Emerging leaders (networking opportunites for developing leaders), econonmic development committie that meets for education opportunities, housing committee </t>
  </si>
  <si>
    <t>Financial sustainability, collaboration, capacity building, facilitation and documentation</t>
  </si>
  <si>
    <t>Crime prevention through environmental design, expiring 15 yearr low income housing tax credit, sustainabliy/green building, generating unrestricted income for nonprofits</t>
  </si>
  <si>
    <t xml:space="preserve">Organization development, capacity building (new nonprofit law), NWBE section 3 req, funding courses, affordable housing, trainings on the home program </t>
  </si>
  <si>
    <t>eradicating blight, redevelopment of neighborhoods, transportation</t>
  </si>
  <si>
    <t>growing in our planning area, community engagement</t>
  </si>
  <si>
    <t>resources and staff</t>
  </si>
  <si>
    <t>program evaluation, fundraising, organization capactiy, succession planning</t>
  </si>
  <si>
    <t>communications, possibly others but we're different from other members, program evaluation</t>
  </si>
  <si>
    <t>been on wrong track for a while but now its changing - better political leadership and more of culture of innovation</t>
  </si>
  <si>
    <t>lot of cuts to HUD and transit programs - these are critcal to neighborood revitialization</t>
  </si>
  <si>
    <t>Community development institute (monthly training program for capacity building), energy efficiency and clean energey, micro business development</t>
  </si>
  <si>
    <t>Small business owners, advocacy with organizations outside our membership</t>
  </si>
  <si>
    <t>Civic engagement, consulting to municipatlies</t>
  </si>
  <si>
    <t>Training/technical assitance, coordinating an approach to issue advocacy</t>
  </si>
  <si>
    <t>Home buyer education</t>
  </si>
  <si>
    <t>Healthcare navigator (healthcare information and enrollment), community engagement, civic engagement</t>
  </si>
  <si>
    <t>2011-2014 Change</t>
  </si>
  <si>
    <t>2011-2014 Comparison</t>
  </si>
  <si>
    <t>Land use and zoning, affordable housing policy and finance, community organization and leadership development</t>
  </si>
  <si>
    <t>Affordable housing, organizing low income people</t>
  </si>
  <si>
    <t>Tenant issues (landlord tenant code in Delaware), housing council formation</t>
  </si>
  <si>
    <t>Project development</t>
  </si>
  <si>
    <t>Development finance, property management, single family multi-family development</t>
  </si>
  <si>
    <t>Housing counseling, community housing development corporations CHDO, collaborations and facilitation (funding)</t>
  </si>
  <si>
    <t>Strategic planning, fundraising, executive director transition</t>
  </si>
  <si>
    <t>Strategic planning, graphic design, making videos, help with conference planning</t>
  </si>
  <si>
    <t>Helping entrepreneurs build a business (business plans, financing), lending, credit building programs</t>
  </si>
  <si>
    <t>Research and best practices, indicators, coalitions to work through problems</t>
  </si>
  <si>
    <t>funding cuts, but depends where you look - glut of homes due to foreclosures ( some places need rehab not dollars)</t>
  </si>
  <si>
    <t>Training</t>
  </si>
  <si>
    <t>What Topics</t>
  </si>
  <si>
    <t>Organization management, financial management, housing programs</t>
  </si>
  <si>
    <t>Housing, local government</t>
  </si>
  <si>
    <t>leadership development, public speaking, civic engagement, topical issues (ex. transportation 101)</t>
  </si>
  <si>
    <t>Development, portfolio management</t>
  </si>
  <si>
    <t>Affordable housing development (finance), public housing residents on organizing and leadership development, emerging leaders network (millenials looking to build skills)</t>
  </si>
  <si>
    <t>Affirmatively furthering fair housing</t>
  </si>
  <si>
    <t>Economic impact of housing study, impact of rental housing on communities in Delaware (NIMBY concerns), housing needs of people with disabilities in Delaware</t>
  </si>
  <si>
    <t>Affordable housing factbook (2010 census)</t>
  </si>
  <si>
    <t>Part of IHARP, subsidized housing issues (housing choice voucher/demographics), housing for people with disabilities, housing counseling capacity, homeless services</t>
  </si>
  <si>
    <t>Rental deduction in Indiana, economic impact of our members</t>
  </si>
  <si>
    <t>Yearly report of member activities, community development and health, univeristy CDC partnerships, CDCs and environmental sustainability</t>
  </si>
  <si>
    <t>State of community development industry, planning</t>
  </si>
  <si>
    <t>Effect of a redevelopment program in a deep dive</t>
  </si>
  <si>
    <t>Ideas for counties to improve and develop communities</t>
  </si>
  <si>
    <t>The impact of the revitalization tax credit, impact of problem property ordnance, annual survey of members</t>
  </si>
  <si>
    <t>Workforce housing, connection between housing and environment &amp; commuting patterns, energy</t>
  </si>
  <si>
    <t>Introduction and overview of community economic development, management and compliance, specific work (construction, evaluations)</t>
  </si>
  <si>
    <t>Affordable housing, community economic development, financial education, local food economy</t>
  </si>
  <si>
    <t>Resident services, property and asset management, fiscal managementt, leadership</t>
  </si>
  <si>
    <t>Policy issues that are advancing and how to advocate</t>
  </si>
  <si>
    <t>Education on changes to state housing programs, changes on state building codes, energy policy changes</t>
  </si>
  <si>
    <t>Don't know</t>
  </si>
  <si>
    <t>Disaster recovery and preparedness, finance(mergers and aquisitions), board development, direct financing, developing strategic agreements with habitat for humanity, housing counseling</t>
  </si>
  <si>
    <t>State and federal funding source compliance, asset management, board development, human resources staffing, state funding policy, capacity builidng relating to funding</t>
  </si>
  <si>
    <t>Land banks</t>
  </si>
  <si>
    <t>Communications, fundraising (strategies and systems), accessing data (GIS mapping)</t>
  </si>
  <si>
    <t>Data collection and reporting for housing counseling</t>
  </si>
  <si>
    <t xml:space="preserve">Organizational development, strategic planning, grant writing, </t>
  </si>
  <si>
    <t>Board development, nonprofit management, partnership development</t>
  </si>
  <si>
    <t>Blight strategies, best practices around meeting housing needs, housing data</t>
  </si>
  <si>
    <t>Community banker - high rental costs in Rhode Island</t>
  </si>
  <si>
    <t>Energy efficiency, rural development, heirs property preservation</t>
  </si>
  <si>
    <t>Annual lending studies</t>
  </si>
  <si>
    <t>A salary survey, production survey, policy research</t>
  </si>
  <si>
    <t>Pass-Through Grants</t>
  </si>
  <si>
    <t>Volunteers</t>
  </si>
  <si>
    <t>Fiscal Sponsor</t>
  </si>
  <si>
    <t>Insurance or Products at a Group Discount</t>
  </si>
  <si>
    <t>Direct Services</t>
  </si>
  <si>
    <t>Referral and information about affordable housing resources</t>
  </si>
  <si>
    <t>Landlord tenant questions, forming resident councils</t>
  </si>
  <si>
    <t>Quarterly report to city of Chicago on planning and performance</t>
  </si>
  <si>
    <t>How to do a deal guidebooks, dictionary of jargon, exemplary practices</t>
  </si>
  <si>
    <t>Consulting services</t>
  </si>
  <si>
    <t>Donor eductation and donor outreach</t>
  </si>
  <si>
    <t>Policy development appears to show that counties and localities can be influenced</t>
  </si>
  <si>
    <t>Progressive mayor and governor who like and admire CDCs, major new initiative that will generate money for our members, able to win policy victories in the state house</t>
  </si>
  <si>
    <t>Getting postive traction at local level, investing around light rail, doing holistic community development</t>
  </si>
  <si>
    <t>Been on wrong track for a while but now its changing - better political leadership and more of culture of innovation</t>
  </si>
  <si>
    <t>Politics and funding</t>
  </si>
  <si>
    <t>Lost tax increment financing, need to find another financing source</t>
  </si>
  <si>
    <t>Wrong direction</t>
  </si>
  <si>
    <t>Right direction</t>
  </si>
  <si>
    <t>Don’t know</t>
  </si>
  <si>
    <t>National level seems to have turned in the right direction, but the effect is not felt at local level yet</t>
  </si>
  <si>
    <t>May lose what we've gained and not enough effort advance us in new direstions</t>
  </si>
  <si>
    <t>Not much there at the national level, congress is at a stalemate, traditional sources of funding has dried up and have not been replaced, policies are not supporting community development, no public dialogue about community development</t>
  </si>
  <si>
    <t>Congress has backed away from funding community development</t>
  </si>
  <si>
    <t>Lot of cuts to HUD and transit programs - these are critcal to neighborood revitialization</t>
  </si>
  <si>
    <t>Its weak - previously tax credits were integral and the state's trying to peel them back and decreasing them, St Louis is being forced by HUD to get better at using what we have</t>
  </si>
  <si>
    <t>Policy is changing in our favor, new mayor Bill de Blasio</t>
  </si>
  <si>
    <t>When contrasted to falling off the rails, members have been reinventing themselves. Its easy to be bummed out by budget cuts - but worst is behind us and we're still here.  Good is being done.</t>
  </si>
  <si>
    <t>State politics are good, affordability of housing is becoming a concern (at the top of the minds of everyone), connecting housing to education and healthcare</t>
  </si>
  <si>
    <t xml:space="preserve">Able to create land bank with the city, new legisatlion coming for housing </t>
  </si>
  <si>
    <t>Putting CED on the policy radar of officials, but still needs work</t>
  </si>
  <si>
    <t>Public sector funding is shrinking and doesn't look like its coming back</t>
  </si>
  <si>
    <t>Recognition of certain problems, but not realistic solutions from community development</t>
  </si>
  <si>
    <t>No recognition of the industry</t>
  </si>
  <si>
    <t>Our advocacy is working and our policies are being adopted - progress is being made and providing leadership</t>
  </si>
  <si>
    <t xml:space="preserve">Relying on developer fees, but developers are unable to build so there are no fees for us  </t>
  </si>
  <si>
    <t>Positive things in the budget, but prices are so expensive in San Francisco, lost several state laws</t>
  </si>
  <si>
    <t>Key sources of revenue are under threat</t>
  </si>
  <si>
    <t>Glut of vacant housing in detroit</t>
  </si>
  <si>
    <t>Not a conversation at the national level, hard to get attention to create positive communities, but there is some investment</t>
  </si>
  <si>
    <t>Congress can't pass anything</t>
  </si>
  <si>
    <t>Lesss focus on community development - people don't know what it is and don't think about</t>
  </si>
  <si>
    <t>Cuts in resources, elimination of Freddie and Fannie as sources of philanthropy</t>
  </si>
  <si>
    <t>As advocates we may be arguring from the wrong position - we need to bring factual information</t>
  </si>
  <si>
    <t>No housing production program for a generation</t>
  </si>
  <si>
    <t>National policies on community development and recovery efforts are timid, some areas need more help and elected officials are too timid, HUD budget was cut (no dollars in communities, then private market will miss it)</t>
  </si>
  <si>
    <t>Congress has lack fo understanding of multidiscilinary strategies to change at community level</t>
  </si>
  <si>
    <t>Reason</t>
  </si>
  <si>
    <t>Direction</t>
  </si>
  <si>
    <t>Funders are supporting the San Fransisco Bay area, and generally doing well - but housing costs are so high - we're at a turning point</t>
  </si>
  <si>
    <t>Focus on transit oriented development in Conneticut - reviving community development</t>
  </si>
  <si>
    <t>Less duplication of work in the field makes it more focused</t>
  </si>
  <si>
    <t>Congress, republican congress stopping everything</t>
  </si>
  <si>
    <t>President's social justice campaign has missed affordable housing</t>
  </si>
  <si>
    <t>Simply worried</t>
  </si>
  <si>
    <t>Just wrong</t>
  </si>
  <si>
    <t>Reduction in appropriations at the Federal level</t>
  </si>
  <si>
    <t>Eliminating the 202 program was bad, cuts to section 8 was bad, focus on the interest tax credit is hurting us on the whole, the Federal government's response to inventory of foreclosed property</t>
  </si>
  <si>
    <t>Tax reform and sequestration</t>
  </si>
  <si>
    <t>Funding is wrong, but accomplishment is heading in right direction - community development organizations are finding ways to have an impact and diversify to broaden their work</t>
  </si>
  <si>
    <t>Obama administration is making decisions I don't agree with and there are program cuts</t>
  </si>
  <si>
    <t>Not tapped into the national network</t>
  </si>
  <si>
    <t>Governor is focusing on affordable housing and ensuring its funded in the budget, worked for rental assitance programs and vouchers</t>
  </si>
  <si>
    <t>Local official can be inflenced</t>
  </si>
  <si>
    <t>Large resources are being devoted to affordable housing ($100 million), attention being paid to the topic</t>
  </si>
  <si>
    <t>Governor put $ 3/4 billion into affordable housing, its one of his top priorites</t>
  </si>
  <si>
    <t>Housing is recognized as a major issue in Massachusetts, head of affordable housing at state level is great advocate, government is trying to do work in this area</t>
  </si>
  <si>
    <t>No strong infrastructure for community development in Georgia</t>
  </si>
  <si>
    <t>Role of the nonprofit is fundamental; need more local organizations</t>
  </si>
  <si>
    <t>Lack of commitment to understanding what it takes to build a community and lack of funding</t>
  </si>
  <si>
    <t>Funding design is not helpful- always chasing money</t>
  </si>
  <si>
    <t>Getting rid of tax credits for development properties, and get rid of tax credits for entitlements, two heart beats (two people for each bedroom for each voucher given), conservative legislature that focuses on big business, anything called a tax credit is bad</t>
  </si>
  <si>
    <t>Legislators want to elimate the state housing tax credit</t>
  </si>
  <si>
    <t xml:space="preserve">Very little support from general assembly </t>
  </si>
  <si>
    <t>Years Working</t>
  </si>
  <si>
    <t>Robust tax credit system, last year it was constantly under attack, affordable housing trust fund has been capped - could be better and the current direction is headding in the right direction</t>
  </si>
  <si>
    <t>Legislators want to elimate the state housing tax creadt</t>
  </si>
  <si>
    <t>Dollars have been redirected into infrastructure development</t>
  </si>
  <si>
    <t>Republican congress stopping everything</t>
  </si>
  <si>
    <t>General assembly is not interested, despite our work</t>
  </si>
  <si>
    <t>Not impressed with the leadership for affordable housing at the state level, housing finance agency is making it difficult for affordable housing to prosper, instead they make life easier for for profit housing leaders</t>
  </si>
  <si>
    <t>No funding at all locally for affordable  housing and its not a priority</t>
  </si>
  <si>
    <t>Some officials are headed in the right direction but others are holding us back, President is heading in right direction</t>
  </si>
  <si>
    <t>Massive budget cuts and shredding of safety net, even when money steered toward our field its not going to place based community development - going to larger nonprofits, nationally competitive nonprofit funding pools are very hard for small non profits to break into</t>
  </si>
  <si>
    <t>Difficult to get anything out of congress, ACA is a good move, but possible elimination of tax credits for low and moderately income families</t>
  </si>
  <si>
    <t>Feds cutting all the funding</t>
  </si>
  <si>
    <t>Thinking about neighborhoods and place based strategies are being thought about and getting better, federal policies need to be more integrated to benefit more industrial cities</t>
  </si>
  <si>
    <t xml:space="preserve">Gridlock in congress </t>
  </si>
  <si>
    <t>Conference call = 11%</t>
  </si>
  <si>
    <t>Equally person &amp; phone = 7%</t>
  </si>
  <si>
    <t>Conference call = 13%</t>
  </si>
  <si>
    <t>Too much = 0%</t>
  </si>
  <si>
    <t>Just right = 67%</t>
  </si>
  <si>
    <t>Not enough = 22%</t>
  </si>
  <si>
    <t>Not nearly enough = 0%</t>
  </si>
  <si>
    <t>Not sure = 7%</t>
  </si>
  <si>
    <t>Too much = 10%</t>
  </si>
  <si>
    <t>Not nearly enough = 3%</t>
  </si>
  <si>
    <t>Not sure = 3%</t>
  </si>
  <si>
    <t>Number of Members</t>
  </si>
  <si>
    <t>Board Member's Terms</t>
  </si>
  <si>
    <t>Term limits</t>
  </si>
  <si>
    <t>Profile of Reserved Seats</t>
  </si>
  <si>
    <t>Frequency of Board Meetings</t>
  </si>
  <si>
    <t>2 terms = 22%</t>
  </si>
  <si>
    <t>The Federal government is cutting the budget</t>
  </si>
  <si>
    <t>Federal budget issues, home programs have been getting cut HUD getting cut</t>
  </si>
  <si>
    <t>Congress is gridlocked</t>
  </si>
  <si>
    <t>Policies at state level are built on Federal policies</t>
  </si>
  <si>
    <t>Funding is insfufficient</t>
  </si>
  <si>
    <t>Funding is being cut, but it depends where you look - glut of homes due to foreclosures (some places need rehab not dollars)</t>
  </si>
  <si>
    <t>Don't have an opinion on it because we're at a lower level</t>
  </si>
  <si>
    <t>Effect of changes at HUD are uncertain; still need to see what changes will mean</t>
  </si>
  <si>
    <t>5 Year Outlook</t>
  </si>
  <si>
    <t>Completely different compared to now</t>
  </si>
  <si>
    <t>Day-to-Day Operations</t>
  </si>
  <si>
    <t>5 Year Organization Size</t>
  </si>
  <si>
    <t>Salary</t>
  </si>
  <si>
    <t>West</t>
  </si>
  <si>
    <t>South East</t>
  </si>
  <si>
    <t>Mid West</t>
  </si>
  <si>
    <t>Vouchers are helpful, priorities on mixed use and mixed income developments, focus on on affordable housing incorporated into development</t>
  </si>
  <si>
    <t>some success and the state is investing $100 million in affordable housing</t>
  </si>
  <si>
    <t>We continue to have state funds for affordable housing and community development, but room for improvement, Governor Cuomo loves to spend</t>
  </si>
  <si>
    <t>Good nonprofits and for profits in Ohio and a good syndicator in Ohio that does a lot for CDCs and investing in communities</t>
  </si>
  <si>
    <t>North East</t>
  </si>
  <si>
    <t>Web resources = 56%</t>
  </si>
  <si>
    <t>Discounts = 93%</t>
  </si>
  <si>
    <t>2012 total</t>
  </si>
  <si>
    <t>Wrong Direction</t>
  </si>
  <si>
    <t>Right direction =  41%</t>
  </si>
  <si>
    <t>Wrong direction =  59%</t>
  </si>
  <si>
    <t>Right direction =  13%</t>
  </si>
  <si>
    <t>Wrong direction =  77%</t>
  </si>
  <si>
    <t>Right direction =  37%</t>
  </si>
  <si>
    <t>Wrong direction =  63%</t>
  </si>
  <si>
    <t>All Members</t>
  </si>
  <si>
    <t>2011 Raw Numbers</t>
  </si>
  <si>
    <t>No similar question in 2011 survey.</t>
  </si>
  <si>
    <t>Average</t>
  </si>
  <si>
    <t>2014 Raw</t>
  </si>
  <si>
    <t>Differences in questions between 2011 and 2014 invalidate comparison.</t>
  </si>
  <si>
    <t>Way too often</t>
  </si>
  <si>
    <t>Just righ</t>
  </si>
  <si>
    <t>Average = 4</t>
  </si>
  <si>
    <t>No similar data exists in the 2011 survey.</t>
  </si>
  <si>
    <t>No 2011 data</t>
  </si>
  <si>
    <t>Average = 854</t>
  </si>
  <si>
    <t>Average = 87</t>
  </si>
  <si>
    <t>Average = 15</t>
  </si>
  <si>
    <t>Much more attention is paid to data and impact, loss of CDBG has been bad, but it focuses people on the mission and demonstrating relevance, there should be more of a national dialogue on these issues, don't worry about it being bad - figure out how to make things work, people are retiring  thus paving the way for new blood and innovation</t>
  </si>
  <si>
    <t>Especially tough regarding USDA rural development and credit regulations</t>
  </si>
  <si>
    <t>Cuts in the budget</t>
  </si>
  <si>
    <t>Not part of the conversation</t>
  </si>
  <si>
    <t>Leadership issues - President's budget starts with a cut in the programs we use</t>
  </si>
  <si>
    <t>Equally person &amp; phone</t>
  </si>
  <si>
    <t>In person = 82%</t>
  </si>
  <si>
    <t>2x per year = 33%</t>
  </si>
  <si>
    <t>Way too often = 0%</t>
  </si>
  <si>
    <t>Too often = 7%</t>
  </si>
  <si>
    <t>Just right = 52%</t>
  </si>
  <si>
    <t>Not enough = 33%</t>
  </si>
  <si>
    <t>Not nearly enough = 4%</t>
  </si>
  <si>
    <t>Not sure = 4%</t>
  </si>
  <si>
    <t>Too often = 3%</t>
  </si>
  <si>
    <t>Just right = 57%</t>
  </si>
  <si>
    <t>Discounts = 89%</t>
  </si>
  <si>
    <t>Org Type = 60%</t>
  </si>
  <si>
    <t>Flat Fee = 20%</t>
  </si>
  <si>
    <t>Web resources = 47%</t>
  </si>
  <si>
    <t>Goods or services =43%</t>
  </si>
  <si>
    <t>Training or tech asst = 100%</t>
  </si>
  <si>
    <t>Not at all different = 7%</t>
  </si>
  <si>
    <t>Not at all different = 3%</t>
  </si>
  <si>
    <t>Much larger = 3%</t>
  </si>
  <si>
    <t>Somewhat larger = 55%</t>
  </si>
  <si>
    <t>The same size = 23%</t>
  </si>
  <si>
    <t>Not sure =6%</t>
  </si>
  <si>
    <t>Somewhat smaller = 13%</t>
  </si>
  <si>
    <t>Not sure = 6%</t>
  </si>
  <si>
    <t>Right direction =  16%</t>
  </si>
  <si>
    <t>Wrong direction =  84%</t>
  </si>
  <si>
    <t>Right direction =  11%</t>
  </si>
  <si>
    <t>Wrong direction =  89%</t>
  </si>
  <si>
    <t>Completely different</t>
  </si>
  <si>
    <t xml:space="preserve">Somewhat different </t>
  </si>
  <si>
    <t xml:space="preserve">Very different </t>
  </si>
  <si>
    <t xml:space="preserve">Not at all different </t>
  </si>
  <si>
    <t>Very different = 11%</t>
  </si>
  <si>
    <t xml:space="preserve">Somewhat different = 63% </t>
  </si>
  <si>
    <t>Not at all different = 22%</t>
  </si>
  <si>
    <t>Completely different = 3%</t>
  </si>
  <si>
    <t>Very different = 3%</t>
  </si>
  <si>
    <t>Very different = 26%</t>
  </si>
  <si>
    <t>Somewhat different = 59%</t>
  </si>
  <si>
    <t>No term limits = 56%</t>
  </si>
  <si>
    <t>Organizations  vs. Individuals</t>
  </si>
  <si>
    <t>3 terms = 22%</t>
  </si>
  <si>
    <t>2011 Raw</t>
  </si>
  <si>
    <t>2011 total</t>
  </si>
  <si>
    <t>2014 total</t>
  </si>
  <si>
    <t>Once a month = 26%</t>
  </si>
  <si>
    <t>Twice a month = N/A</t>
  </si>
  <si>
    <t>Once every two months = 37%</t>
  </si>
  <si>
    <t>Once a quarter = 26%</t>
  </si>
  <si>
    <t>Twice a month = 3%</t>
  </si>
  <si>
    <t>Once a quarter = 23%</t>
  </si>
  <si>
    <t>Non-Profits vs. For-Profits</t>
  </si>
  <si>
    <t>No term limits = 50%</t>
  </si>
  <si>
    <t>2 terms = 23%</t>
  </si>
  <si>
    <t>3 terms = 27%</t>
  </si>
  <si>
    <t>Once a month = 17%</t>
  </si>
  <si>
    <t>Once every two months = 57%</t>
  </si>
  <si>
    <t>In person = 67%</t>
  </si>
  <si>
    <t>Equally person &amp; phone = 20%</t>
  </si>
  <si>
    <t>Just right = 73%</t>
  </si>
  <si>
    <t>Not enough = 7%</t>
  </si>
  <si>
    <t>In person or By Phone</t>
  </si>
  <si>
    <t>Board Turnover</t>
  </si>
  <si>
    <t>Frequency Members Covene</t>
  </si>
  <si>
    <t>Frequency Members Covene is…</t>
  </si>
  <si>
    <t>Number of Broadcast Communications Each Month</t>
  </si>
  <si>
    <t>Web Resources</t>
  </si>
  <si>
    <t>2x per month = 4%</t>
  </si>
  <si>
    <t>1x per month = 19%</t>
  </si>
  <si>
    <t>1x per 2 months = 4%</t>
  </si>
  <si>
    <t>1x per quarter = 7%</t>
  </si>
  <si>
    <t>2x per year = 30%</t>
  </si>
  <si>
    <t>1x per year = 37%</t>
  </si>
  <si>
    <t xml:space="preserve">Budget Size </t>
  </si>
  <si>
    <t xml:space="preserve">Indiv vs Org </t>
  </si>
  <si>
    <t>Budget Size = 70%</t>
  </si>
  <si>
    <t>Indiv vs Org = 59%</t>
  </si>
  <si>
    <t>Org Type = 74%</t>
  </si>
  <si>
    <t>@OhioCDC</t>
  </si>
  <si>
    <t>@mccd_mn</t>
  </si>
  <si>
    <t>Blogs, videos of tv shows and training videos informational (EIC), News and updates on federal, state, and local policy; events, action alerts</t>
  </si>
  <si>
    <t>Membership renewals, surveys</t>
  </si>
  <si>
    <t>@sfcdc</t>
  </si>
  <si>
    <t>Eventbrite, SurveyMonkey, LinkedIn, HootSuite</t>
  </si>
  <si>
    <t>Most programs are opened to nonmembers</t>
  </si>
  <si>
    <t>Public policy advocacy; networking opportunities; subgrant AmeriCorps VISTAs; research; subgrants for housing counseling intermediary affiliates</t>
  </si>
  <si>
    <t>Right direction =  40%</t>
  </si>
  <si>
    <t>Wrong direction =  50%</t>
  </si>
  <si>
    <t>Real Estate Development</t>
  </si>
  <si>
    <t>Right direction =  7%</t>
  </si>
  <si>
    <t>Somewhat different = 70%</t>
  </si>
  <si>
    <t>Not at all different = 23%</t>
  </si>
  <si>
    <t>Completely different = 7%</t>
  </si>
  <si>
    <t>Very different = 27%</t>
  </si>
  <si>
    <t>Somewhat different = 60%</t>
  </si>
  <si>
    <t>Somewhat larger = 53%</t>
  </si>
  <si>
    <t>1x per 2 months = 3%</t>
  </si>
  <si>
    <t>1x per 2 months = 7%</t>
  </si>
  <si>
    <t>1x per month = 10%</t>
  </si>
  <si>
    <t>1x per year = 43%</t>
  </si>
  <si>
    <t>The 30 NACEDA members who participated in the survey are identified as follows (alphabetically by state):</t>
  </si>
  <si>
    <t>F - The Future</t>
  </si>
  <si>
    <t>2 from each of 6 regions and 6 at large.</t>
  </si>
  <si>
    <t>2/3 for voting members-CDCs, geographic, gender, ethnicity; 1/3 non-voting</t>
  </si>
  <si>
    <t>Place Based</t>
  </si>
  <si>
    <t>Constituency Based</t>
  </si>
  <si>
    <t>1x per quarter = 3%</t>
  </si>
  <si>
    <t>Wrong direction =  57%</t>
  </si>
  <si>
    <t>Expand the pie of resources (Housing Trust Fund, CDC Tax Credit), improving programs/advancing community development system change (Philadelphia Land Bank, new zoning code adopted), and advance equitable development</t>
  </si>
  <si>
    <t>Philly Land Bank Alliance; Next Great City; Data Collaborative; and allies on a number of issues at state and national level</t>
  </si>
  <si>
    <t>Through our Philadelphia Community Development Leadership Institute: real estate development/management; organization development; and other programatic issues</t>
  </si>
  <si>
    <t>Collective Strength report (measures economic impact of CDC industry in Philadelphia), reports that track impact of funding programs (Housing Trust Fund, CDC Tax Credit); and part of Data Collaborative that does other research reports to support advocacy efforts</t>
  </si>
  <si>
    <t>Our trainings and Symposium are open to non-members</t>
  </si>
  <si>
    <t>Seems that we're fighting congress trying to cut critical programs, and President has proposed cuts in those programs as well</t>
  </si>
  <si>
    <t>Generally right direction, but funding for home ownership development has been discontinued locally.  There is a need for a comprehensive housing startegy for preservation and production of affordable homes and additional resources to meet the need.</t>
  </si>
  <si>
    <t>4 via conference call; 2 in-person</t>
  </si>
  <si>
    <t>Constant Contact, SurveyMonkey</t>
  </si>
  <si>
    <t>Constant Contact, Excel</t>
  </si>
  <si>
    <t>the state community contribution tax credit, state housing trust fund, and federal issues</t>
  </si>
  <si>
    <t>pro-bono relationships with a lobbying/advocacy firm</t>
  </si>
  <si>
    <t>NACEDA, Florida Housing Coalition, Community Action Association, Community Development Association (Local), Florida Prospertiy Partnership, FL Supportive Housing Coalition</t>
  </si>
  <si>
    <t>Not enough = 37%</t>
  </si>
  <si>
    <t>Not sure = 0%</t>
  </si>
  <si>
    <t>Budget Size = 57%</t>
  </si>
  <si>
    <t>Indiv vs Org = 67%</t>
  </si>
  <si>
    <t>Community is more than houses, state keeps sweeping or taking large portions of HTF</t>
  </si>
  <si>
    <t>Organization development and capacity builidng, commerical and business development, media, CDC Certification program public policy/advocacy</t>
  </si>
  <si>
    <t>Governance, programatic, capacity building, CDC Certification</t>
  </si>
  <si>
    <t>Survey of the industry, state housing and economic development programs</t>
  </si>
  <si>
    <t>National level groups are able to attract more money, but must ensure they remain nimble and in tune with what is taking place locally</t>
  </si>
  <si>
    <t>Budget constraints at the federal and local level</t>
  </si>
  <si>
    <t>No less than 75 percent of the membership of the Board of Directors must be comprised of Voting Members from organizations that qualify under Section 501((c)(3).</t>
  </si>
  <si>
    <t>Youtube, Linkedin, Flickr</t>
  </si>
  <si>
    <t xml:space="preserve">Gaining local public sector resources for affordable housing and economic development; improving the small business climate; targeted improvements to the continuum of housing programs  </t>
  </si>
  <si>
    <t xml:space="preserve">NCRC, NLIHC ; DC / local: Fair Budget Coalition, Washington Interfaith Network, Coalition Of Homeless Organizations, HAND,  </t>
  </si>
  <si>
    <t xml:space="preserve"> Issue-specific trainings &amp; peers exchanges on: housing development, resident services, green building, supportive housing, LIHTC, housing co-ops, strengthening small business technical assistance, NPO management, budget briefings</t>
  </si>
  <si>
    <t xml:space="preserve">Getting payments from the government, concerns about funding for local government agencies, how to start an affordable housing development corporation, Communications &amp; fundraising strategies &amp; tools; </t>
  </si>
  <si>
    <t>Housing counseling, community housing development corporations CHDO, collaborations and facilitation (funding), research</t>
  </si>
  <si>
    <t>Housing counseling, foreclosure mitigation, place based development, re-entry (housing for former offenders), organizational development; advocacy training</t>
  </si>
  <si>
    <t>Good efforts are being made but need to keep  focus on ultimate goals we want to achieve on national level; serious funding problems - HUD budget cuts</t>
  </si>
  <si>
    <t>Right direction =  43%</t>
  </si>
  <si>
    <t xml:space="preserve">Workforce housing, determining the average cost of housing production, the costs and benefits of supportive housing, other policy papers on resident services, homeowner legislation, recommendations to improve the climate for small business </t>
  </si>
  <si>
    <t>Gentrification makes the work more difficult, but also makes the work more essential.Last few years have seen huge investments from local government in affordable housing; need to establish steady sources for housing and for community economic development.</t>
  </si>
  <si>
    <t xml:space="preserve">Key federal programs have been reduced &amp; facing additional reductions; BUT positive for the National Trust Fund </t>
  </si>
  <si>
    <t>Somewhat Larger</t>
  </si>
  <si>
    <t>Grand Total</t>
  </si>
  <si>
    <t>The state of IL fiscal situation is dire. Currently, the environment is to make cuts to safety net programs, such as housing. We think raising state revenue needs to be part of the solution.</t>
  </si>
  <si>
    <t>Critical funding for CDBG and HOME programs has been cut, although National HTF could provide critical new resources.</t>
  </si>
  <si>
    <t>Wufoo, Constant Contact</t>
  </si>
  <si>
    <t>National Low Income Housing Coaltion, NACEDA, CNHED, MAHC, NCRC, CDN</t>
  </si>
  <si>
    <r>
      <t xml:space="preserve">From 2011-2014, the percentage of members that offered exclusive access to web based resources to their members decreased by </t>
    </r>
    <r>
      <rPr>
        <b/>
        <sz val="10"/>
        <rFont val="Verdana"/>
        <family val="0"/>
      </rPr>
      <t>7%</t>
    </r>
    <r>
      <rPr>
        <sz val="10"/>
        <rFont val="Verdana"/>
        <family val="0"/>
      </rPr>
      <t>.</t>
    </r>
  </si>
  <si>
    <t>MEMBERSHIP</t>
  </si>
  <si>
    <t>GOVERNANCE</t>
  </si>
  <si>
    <t>Programming: Housing Development Finance, Local Trends, Property Management, Compliance, Low Income Housing Tax Credit, Budget Briefings, Year 15;  Discussion Groups: Green Building, CFO / Asset Management, Resident Services , Emerging Leaders</t>
  </si>
  <si>
    <t>Housing Development Finance and Other Community Development Training Initiatives</t>
  </si>
  <si>
    <t>Salary Surveys and News Briefs on Real Estate Development Trends</t>
  </si>
  <si>
    <r>
      <t>From 2011 to 2014, the average number of members a NACEDA member has increased by</t>
    </r>
    <r>
      <rPr>
        <b/>
        <sz val="10"/>
        <rFont val="Verdana"/>
        <family val="0"/>
      </rPr>
      <t xml:space="preserve"> 5%.</t>
    </r>
  </si>
  <si>
    <r>
      <t>From 2011 to 2014, the total number of members all NACEDA members have increased by</t>
    </r>
    <r>
      <rPr>
        <b/>
        <sz val="10"/>
        <rFont val="Verdana"/>
        <family val="0"/>
      </rPr>
      <t xml:space="preserve"> 17%.</t>
    </r>
  </si>
  <si>
    <r>
      <t>From 2011 to 2014, the average number of organizational members in each NACEDA member has increased by</t>
    </r>
    <r>
      <rPr>
        <b/>
        <sz val="10"/>
        <rFont val="Verdana"/>
        <family val="0"/>
      </rPr>
      <t xml:space="preserve"> 3%</t>
    </r>
    <r>
      <rPr>
        <sz val="10"/>
        <rFont val="Verdana"/>
        <family val="0"/>
      </rPr>
      <t>.</t>
    </r>
  </si>
  <si>
    <r>
      <t>From 2011 to 2014, the total number of organizational members of all NACEDA members have increased by</t>
    </r>
    <r>
      <rPr>
        <b/>
        <sz val="10"/>
        <rFont val="Verdana"/>
        <family val="0"/>
      </rPr>
      <t xml:space="preserve"> 15%.</t>
    </r>
  </si>
  <si>
    <r>
      <t xml:space="preserve">From 2011 to 2014, the average number of individual members in each NACEDA member has decreased by </t>
    </r>
    <r>
      <rPr>
        <b/>
        <sz val="10"/>
        <rFont val="Verdana"/>
        <family val="0"/>
      </rPr>
      <t>6%.</t>
    </r>
  </si>
  <si>
    <r>
      <t>From 2011 to 2014, the total number of individual members of all NACEDA members have increased by</t>
    </r>
    <r>
      <rPr>
        <b/>
        <sz val="10"/>
        <rFont val="Verdana"/>
        <family val="0"/>
      </rPr>
      <t xml:space="preserve"> 7%.</t>
    </r>
  </si>
  <si>
    <r>
      <t xml:space="preserve">From 2011-2014, the percentage of members that used organization budget size as a factor in determining their membership dues decreased by </t>
    </r>
    <r>
      <rPr>
        <b/>
        <sz val="10"/>
        <rFont val="Verdana"/>
        <family val="0"/>
      </rPr>
      <t>14%</t>
    </r>
    <r>
      <rPr>
        <sz val="10"/>
        <rFont val="Verdana"/>
        <family val="0"/>
      </rPr>
      <t>.</t>
    </r>
  </si>
  <si>
    <r>
      <t xml:space="preserve">From 2011-2014, the percentage of members that used the distinction between individuals and organizations as a factor in determining their membership dues increased by </t>
    </r>
    <r>
      <rPr>
        <b/>
        <sz val="10"/>
        <rFont val="Verdana"/>
        <family val="0"/>
      </rPr>
      <t>7%</t>
    </r>
  </si>
  <si>
    <r>
      <t xml:space="preserve">From 2011-2014, the percentage of members that used organizational type as a factor in determining their membership dues decreased by </t>
    </r>
    <r>
      <rPr>
        <b/>
        <sz val="10"/>
        <rFont val="Verdana"/>
        <family val="0"/>
      </rPr>
      <t>14%</t>
    </r>
    <r>
      <rPr>
        <sz val="10"/>
        <rFont val="Verdana"/>
        <family val="0"/>
      </rPr>
      <t>.</t>
    </r>
  </si>
  <si>
    <r>
      <t xml:space="preserve">The average of the highest amount charged by NACEDA members for membership increased by </t>
    </r>
    <r>
      <rPr>
        <b/>
        <sz val="10"/>
        <rFont val="Verdana"/>
        <family val="0"/>
      </rPr>
      <t>18%</t>
    </r>
    <r>
      <rPr>
        <sz val="10"/>
        <rFont val="Verdana"/>
        <family val="0"/>
      </rPr>
      <t>.</t>
    </r>
  </si>
  <si>
    <r>
      <t xml:space="preserve">The average of the lowest amount charged by NACEDA members for membership increased by </t>
    </r>
    <r>
      <rPr>
        <b/>
        <sz val="10"/>
        <rFont val="Verdana"/>
        <family val="0"/>
      </rPr>
      <t>18%</t>
    </r>
    <r>
      <rPr>
        <sz val="10"/>
        <rFont val="Verdana"/>
        <family val="0"/>
      </rPr>
      <t>.</t>
    </r>
  </si>
  <si>
    <r>
      <t xml:space="preserve">From 2011-2014, the percentage of members that offered discounts to their members increased by </t>
    </r>
    <r>
      <rPr>
        <b/>
        <sz val="10"/>
        <rFont val="Verdana"/>
        <family val="0"/>
      </rPr>
      <t>5%</t>
    </r>
    <r>
      <rPr>
        <sz val="10"/>
        <rFont val="Verdana"/>
        <family val="0"/>
      </rPr>
      <t>.</t>
    </r>
  </si>
  <si>
    <r>
      <t>From 2011 to 2014, the percentage of members that feel that the environment for affordable housing at the national level is basically heading in the wrong direction decreased by</t>
    </r>
    <r>
      <rPr>
        <b/>
        <sz val="10"/>
        <rFont val="Verdana"/>
        <family val="0"/>
      </rPr>
      <t xml:space="preserve"> 12%</t>
    </r>
    <r>
      <rPr>
        <sz val="10"/>
        <rFont val="Verdana"/>
        <family val="0"/>
      </rPr>
      <t>.</t>
    </r>
  </si>
  <si>
    <t>ONLINE PRESENCE</t>
  </si>
  <si>
    <r>
      <t xml:space="preserve">From 2011 to 2014, the percentage of members are doing policy advocacy increased by </t>
    </r>
    <r>
      <rPr>
        <b/>
        <sz val="10"/>
        <rFont val="Verdana"/>
        <family val="0"/>
      </rPr>
      <t>4%.</t>
    </r>
  </si>
  <si>
    <r>
      <t xml:space="preserve">From 2011 to 2014, the percentage of members doing policy advocacy has increased by </t>
    </r>
    <r>
      <rPr>
        <b/>
        <sz val="10"/>
        <rFont val="Verdana"/>
        <family val="0"/>
      </rPr>
      <t>10%</t>
    </r>
    <r>
      <rPr>
        <sz val="10"/>
        <rFont val="Verdana"/>
        <family val="0"/>
      </rPr>
      <t>.</t>
    </r>
  </si>
  <si>
    <r>
      <t xml:space="preserve">From 2011 to 2014, the percentage of members doing policy advocacy that are receiving dedicated funding for their policy advocacy work has decreased by </t>
    </r>
    <r>
      <rPr>
        <b/>
        <sz val="10"/>
        <rFont val="Verdana"/>
        <family val="0"/>
      </rPr>
      <t>6%</t>
    </r>
    <r>
      <rPr>
        <sz val="10"/>
        <rFont val="Verdana"/>
        <family val="0"/>
      </rPr>
      <t>.</t>
    </r>
  </si>
  <si>
    <r>
      <t>From 2011 to 2014, the percentage of members paying for professional lobbying services decreased by 7</t>
    </r>
    <r>
      <rPr>
        <b/>
        <sz val="10"/>
        <rFont val="Verdana"/>
        <family val="0"/>
      </rPr>
      <t>%</t>
    </r>
    <r>
      <rPr>
        <sz val="10"/>
        <rFont val="Verdana"/>
        <family val="0"/>
      </rPr>
      <t>.</t>
    </r>
  </si>
  <si>
    <t>All members were involved in coalitions in both 2011 and 2014.</t>
  </si>
  <si>
    <r>
      <t xml:space="preserve">From 2011 to 2014, the percentage of members providing training or professional development opportunities to their members increased by </t>
    </r>
    <r>
      <rPr>
        <b/>
        <sz val="10"/>
        <rFont val="Verdana"/>
        <family val="0"/>
      </rPr>
      <t>8%</t>
    </r>
    <r>
      <rPr>
        <sz val="10"/>
        <rFont val="Verdana"/>
        <family val="0"/>
      </rPr>
      <t>.</t>
    </r>
  </si>
  <si>
    <r>
      <t xml:space="preserve">From 2011 to 2014, the percentage of members providing technical assistance to their members or to other entities increased by </t>
    </r>
    <r>
      <rPr>
        <b/>
        <sz val="10"/>
        <rFont val="Verdana"/>
        <family val="0"/>
      </rPr>
      <t>18%</t>
    </r>
    <r>
      <rPr>
        <sz val="10"/>
        <rFont val="Verdana"/>
        <family val="0"/>
      </rPr>
      <t>.</t>
    </r>
  </si>
  <si>
    <r>
      <t xml:space="preserve">From 2011 to 2014, other than an annual meeting, the percentage of members that put together conferences for their members and partners increased by </t>
    </r>
    <r>
      <rPr>
        <b/>
        <sz val="10"/>
        <rFont val="Verdana"/>
        <family val="0"/>
      </rPr>
      <t>.4%</t>
    </r>
    <r>
      <rPr>
        <sz val="10"/>
        <rFont val="Verdana"/>
        <family val="0"/>
      </rPr>
      <t>.</t>
    </r>
  </si>
  <si>
    <r>
      <t xml:space="preserve">From 2011 to 2014, the percentage of members that produce original research for their members or for the general public decreased by </t>
    </r>
    <r>
      <rPr>
        <b/>
        <sz val="10"/>
        <rFont val="Verdana"/>
        <family val="0"/>
      </rPr>
      <t>1%</t>
    </r>
    <r>
      <rPr>
        <sz val="10"/>
        <rFont val="Verdana"/>
        <family val="0"/>
      </rPr>
      <t>.</t>
    </r>
  </si>
  <si>
    <r>
      <t xml:space="preserve">From 2011 to 2014, the percentage of members were directly involved in real estate development in a significant way decreased by </t>
    </r>
    <r>
      <rPr>
        <b/>
        <sz val="10"/>
        <rFont val="Verdana"/>
        <family val="0"/>
      </rPr>
      <t>4%</t>
    </r>
    <r>
      <rPr>
        <sz val="10"/>
        <rFont val="Verdana"/>
        <family val="0"/>
      </rPr>
      <t>.</t>
    </r>
  </si>
  <si>
    <r>
      <t>From 2011 to 2014,</t>
    </r>
    <r>
      <rPr>
        <b/>
        <sz val="10"/>
        <rFont val="Verdana"/>
        <family val="0"/>
      </rPr>
      <t xml:space="preserve"> </t>
    </r>
    <r>
      <rPr>
        <sz val="10"/>
        <rFont val="Verdana"/>
        <family val="0"/>
      </rPr>
      <t xml:space="preserve">the percentage of members that were directly involved in community lending decreased by </t>
    </r>
    <r>
      <rPr>
        <b/>
        <sz val="10"/>
        <rFont val="Verdana"/>
        <family val="0"/>
      </rPr>
      <t>5%</t>
    </r>
    <r>
      <rPr>
        <sz val="10"/>
        <rFont val="Verdana"/>
        <family val="0"/>
      </rPr>
      <t>.</t>
    </r>
  </si>
  <si>
    <r>
      <t xml:space="preserve">From 2011 to 2014, the percentage of members that manage pass-through grants or have a re-granting program increased by </t>
    </r>
    <r>
      <rPr>
        <b/>
        <sz val="10"/>
        <rFont val="Verdana"/>
        <family val="0"/>
      </rPr>
      <t>27%</t>
    </r>
    <r>
      <rPr>
        <sz val="10"/>
        <rFont val="Verdana"/>
        <family val="0"/>
      </rPr>
      <t>.</t>
    </r>
  </si>
  <si>
    <r>
      <t xml:space="preserve">From 2011 to 2014, the percentage of members managing volunteers or doing volunteer placement increased by </t>
    </r>
    <r>
      <rPr>
        <b/>
        <sz val="10"/>
        <rFont val="Verdana"/>
        <family val="0"/>
      </rPr>
      <t>2%</t>
    </r>
    <r>
      <rPr>
        <sz val="10"/>
        <rFont val="Verdana"/>
        <family val="0"/>
      </rPr>
      <t>.</t>
    </r>
  </si>
  <si>
    <t>Down at this time, merging with another org</t>
  </si>
  <si>
    <t>Goods or services members can provide to their members</t>
  </si>
  <si>
    <r>
      <t xml:space="preserve">From 2011 to 2014, the percentage of members acting as a fiscal sponsor for other non-profits decreased by </t>
    </r>
    <r>
      <rPr>
        <b/>
        <sz val="10"/>
        <rFont val="Verdana"/>
        <family val="0"/>
      </rPr>
      <t>.4%</t>
    </r>
    <r>
      <rPr>
        <sz val="10"/>
        <rFont val="Verdana"/>
        <family val="0"/>
      </rPr>
      <t>.</t>
    </r>
  </si>
  <si>
    <r>
      <t xml:space="preserve">From 2011 to 2014, the percentage of members that are providing direct services or programs to the community at large increased by </t>
    </r>
    <r>
      <rPr>
        <b/>
        <sz val="10"/>
        <rFont val="Verdana"/>
        <family val="0"/>
      </rPr>
      <t>5%</t>
    </r>
    <r>
      <rPr>
        <sz val="10"/>
        <rFont val="Verdana"/>
        <family val="0"/>
      </rPr>
      <t>.</t>
    </r>
  </si>
  <si>
    <t>PROGRAMS AND ACTIVITIES</t>
  </si>
  <si>
    <t xml:space="preserve"> </t>
  </si>
  <si>
    <t>FUTURE</t>
  </si>
  <si>
    <r>
      <t xml:space="preserve">From 2011 to 2014, the percentage of members that feel that the environment for community development in their state or locality is basically heading in the right direction decreased by </t>
    </r>
    <r>
      <rPr>
        <b/>
        <sz val="10"/>
        <rFont val="Verdana"/>
        <family val="0"/>
      </rPr>
      <t>1%</t>
    </r>
    <r>
      <rPr>
        <sz val="10"/>
        <rFont val="Verdana"/>
        <family val="0"/>
      </rPr>
      <t>.</t>
    </r>
  </si>
  <si>
    <r>
      <t>From 2011 to 2014, the percentage of members that feel that the environment for community development in their state or locality is basically heading in the wrong direction decreased by</t>
    </r>
    <r>
      <rPr>
        <b/>
        <sz val="10"/>
        <rFont val="Verdana"/>
        <family val="0"/>
      </rPr>
      <t xml:space="preserve"> 9%</t>
    </r>
    <r>
      <rPr>
        <sz val="10"/>
        <rFont val="Verdana"/>
        <family val="0"/>
      </rPr>
      <t>.</t>
    </r>
  </si>
  <si>
    <r>
      <t xml:space="preserve">From 2011 to 2014, the percentage of members that feel that the environment for community development at the national level is basically heading in the right direction decreased by </t>
    </r>
    <r>
      <rPr>
        <b/>
        <sz val="10"/>
        <rFont val="Verdana"/>
        <family val="0"/>
      </rPr>
      <t>3%</t>
    </r>
    <r>
      <rPr>
        <sz val="10"/>
        <rFont val="Verdana"/>
        <family val="0"/>
      </rPr>
      <t>.</t>
    </r>
  </si>
  <si>
    <r>
      <t>From 2011 to 2014, the percentage of members that feel that the environment for community development at the national level is basically heading in the wrong direction decreased by</t>
    </r>
    <r>
      <rPr>
        <b/>
        <sz val="10"/>
        <rFont val="Verdana"/>
        <family val="0"/>
      </rPr>
      <t xml:space="preserve"> 7%</t>
    </r>
    <r>
      <rPr>
        <sz val="10"/>
        <rFont val="Verdana"/>
        <family val="0"/>
      </rPr>
      <t>.</t>
    </r>
  </si>
  <si>
    <r>
      <t xml:space="preserve">From 2011 to 2014, the percentage of members that feel that the environment for affordable housing in their state or locality is basically heading in the right direction increased by </t>
    </r>
    <r>
      <rPr>
        <b/>
        <sz val="10"/>
        <rFont val="Verdana"/>
        <family val="0"/>
      </rPr>
      <t>6%</t>
    </r>
    <r>
      <rPr>
        <sz val="10"/>
        <rFont val="Verdana"/>
        <family val="0"/>
      </rPr>
      <t>.</t>
    </r>
  </si>
  <si>
    <r>
      <t xml:space="preserve">From 2011 to 2014, the percentage of members that feel that the environment for affordable housing in their state or locality is basically heading in the wrong direction decreased by </t>
    </r>
    <r>
      <rPr>
        <b/>
        <sz val="10"/>
        <rFont val="Verdana"/>
        <family val="0"/>
      </rPr>
      <t>6%</t>
    </r>
    <r>
      <rPr>
        <sz val="10"/>
        <rFont val="Verdana"/>
        <family val="0"/>
      </rPr>
      <t>.</t>
    </r>
  </si>
  <si>
    <r>
      <t xml:space="preserve">From 2011 to 2014, the percentage of members that feel that the environment for affordable housing at the national level is basically heading in the right direction decreased by </t>
    </r>
    <r>
      <rPr>
        <b/>
        <sz val="10"/>
        <rFont val="Verdana"/>
        <family val="0"/>
      </rPr>
      <t>4%</t>
    </r>
    <r>
      <rPr>
        <sz val="10"/>
        <rFont val="Verdana"/>
        <family val="0"/>
      </rPr>
      <t>.</t>
    </r>
  </si>
  <si>
    <t>Place-Based Housing vs Consituency-Based Housing</t>
  </si>
  <si>
    <t>There are multiple sections to this report, contained in worksheets (tabs) below:</t>
  </si>
  <si>
    <t>Note: The information in this report was collected in 2014 via phone interview of all NACEDA member associations. In January 2015, NACEDA added 12 additional members. We look forward to their future participation.</t>
  </si>
  <si>
    <t xml:space="preserve">Welcome to NACEDA's Family Portrait, a census of NACEDA's state and regional member associations. We chose to publish the report in excel to balance the need for functionality and readability. In this workbook, you will find an excel sheet for each of the below categories. As you navigate the workbook, don't forget the plus (+) signs in the left margins that will provide more detailed information.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</si>
</sst>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_(&quot;$&quot;* \(\ #,##0.00\ \);_(&quot;$&quot;* &quot;-&quot;??_);_(\ @_ \)"/>
    <numFmt numFmtId="165" formatCode="_(&quot;$&quot;* #,##0_);_(&quot;$&quot;* \(\ #,##0\ \);_(&quot;$&quot;* &quot;-&quot;??_);_(\ @_ \)"/>
    <numFmt numFmtId="166" formatCode="&quot;$&quot;#,##0"/>
    <numFmt numFmtId="167" formatCode="_(* #,##0.00_);_(* \(\ #,##0.00\ \);_(* &quot;-&quot;??_);_(\ @_ \)"/>
    <numFmt numFmtId="168" formatCode="_(* #,##0_);_(* \(\ #,##0\ \);_(* &quot;-&quot;??_);_(\ @_ \)"/>
    <numFmt numFmtId="169" formatCode="0.0%"/>
    <numFmt numFmtId="170" formatCode="0.000"/>
  </numFmts>
  <fonts count="79">
    <font>
      <sz val="10"/>
      <name val="Microsoft Sans Serif"/>
      <family val="0"/>
    </font>
    <font>
      <b/>
      <sz val="10"/>
      <name val="Verdana"/>
      <family val="0"/>
    </font>
    <font>
      <i/>
      <sz val="10"/>
      <name val="Verdana"/>
      <family val="0"/>
    </font>
    <font>
      <b/>
      <i/>
      <sz val="10"/>
      <name val="Verdana"/>
      <family val="0"/>
    </font>
    <font>
      <b/>
      <sz val="10"/>
      <name val="Microsoft Sans Serif"/>
      <family val="2"/>
    </font>
    <font>
      <sz val="9"/>
      <name val="Tahoma"/>
      <family val="2"/>
    </font>
    <font>
      <b/>
      <sz val="9"/>
      <name val="Tahoma"/>
      <family val="2"/>
    </font>
    <font>
      <sz val="11"/>
      <color indexed="8"/>
      <name val="Calibri"/>
      <family val="2"/>
    </font>
    <font>
      <sz val="18"/>
      <name val="Calibri"/>
      <family val="2"/>
    </font>
    <font>
      <sz val="14"/>
      <name val="Microsoft Sans Serif"/>
      <family val="2"/>
    </font>
    <font>
      <sz val="16"/>
      <name val="Microsoft Sans Serif"/>
      <family val="2"/>
    </font>
    <font>
      <sz val="18"/>
      <name val="Microsoft Sans Serif"/>
      <family val="2"/>
    </font>
    <font>
      <u val="single"/>
      <sz val="10"/>
      <color indexed="12"/>
      <name val="Microsoft Sans Serif"/>
      <family val="2"/>
    </font>
    <font>
      <sz val="9"/>
      <color indexed="63"/>
      <name val="Arial"/>
      <family val="2"/>
    </font>
    <font>
      <sz val="11"/>
      <color indexed="8"/>
      <name val="Arial"/>
      <family val="2"/>
    </font>
    <font>
      <sz val="12"/>
      <color indexed="63"/>
      <name val="Calibri"/>
      <family val="2"/>
    </font>
    <font>
      <sz val="10"/>
      <color indexed="9"/>
      <name val="Microsoft Sans Serif"/>
      <family val="2"/>
    </font>
    <font>
      <sz val="8"/>
      <name val="Verdana"/>
      <family val="0"/>
    </font>
    <font>
      <b/>
      <sz val="10"/>
      <color indexed="50"/>
      <name val="Verdana"/>
      <family val="0"/>
    </font>
    <font>
      <b/>
      <sz val="14"/>
      <color indexed="50"/>
      <name val="Verdana"/>
      <family val="0"/>
    </font>
    <font>
      <sz val="10"/>
      <name val="Verdana"/>
      <family val="0"/>
    </font>
    <font>
      <sz val="14"/>
      <name val="Verdana"/>
      <family val="0"/>
    </font>
    <font>
      <sz val="10"/>
      <color indexed="9"/>
      <name val="Verdana"/>
      <family val="0"/>
    </font>
    <font>
      <sz val="11"/>
      <name val="Verdana"/>
      <family val="0"/>
    </font>
    <font>
      <b/>
      <sz val="10"/>
      <color indexed="50"/>
      <name val="Microsoft Sans Serif"/>
      <family val="2"/>
    </font>
    <font>
      <b/>
      <sz val="12"/>
      <name val="Verdana"/>
      <family val="0"/>
    </font>
    <font>
      <b/>
      <sz val="12"/>
      <name val="Microsoft Sans Serif"/>
      <family val="2"/>
    </font>
    <font>
      <b/>
      <sz val="12"/>
      <color indexed="9"/>
      <name val="Verdana"/>
      <family val="0"/>
    </font>
    <font>
      <b/>
      <sz val="12"/>
      <color indexed="9"/>
      <name val="Microsoft Sans Serif"/>
      <family val="2"/>
    </font>
    <font>
      <b/>
      <i/>
      <sz val="10"/>
      <color indexed="50"/>
      <name val="Verdana"/>
      <family val="0"/>
    </font>
    <font>
      <b/>
      <i/>
      <sz val="10"/>
      <color indexed="50"/>
      <name val="Microsoft Sans Serif"/>
      <family val="0"/>
    </font>
    <font>
      <b/>
      <sz val="10"/>
      <color indexed="9"/>
      <name val="Verdana"/>
      <family val="0"/>
    </font>
    <font>
      <sz val="18"/>
      <name val="Verdana"/>
      <family val="0"/>
    </font>
    <font>
      <b/>
      <sz val="10"/>
      <color indexed="8"/>
      <name val="Verdana"/>
      <family val="0"/>
    </font>
    <font>
      <b/>
      <u val="single"/>
      <sz val="10"/>
      <name val="Verdana"/>
      <family val="0"/>
    </font>
    <font>
      <sz val="10"/>
      <color indexed="50"/>
      <name val="Verdana"/>
      <family val="0"/>
    </font>
    <font>
      <i/>
      <sz val="8"/>
      <name val="Verdana"/>
      <family val="0"/>
    </font>
    <font>
      <b/>
      <sz val="12"/>
      <color indexed="8"/>
      <name val="Verdana"/>
      <family val="0"/>
    </font>
    <font>
      <b/>
      <i/>
      <sz val="11"/>
      <color indexed="50"/>
      <name val="Verdana"/>
      <family val="0"/>
    </font>
    <font>
      <sz val="10"/>
      <color indexed="12"/>
      <name val="Verdana"/>
      <family val="0"/>
    </font>
    <font>
      <u val="single"/>
      <sz val="10"/>
      <color indexed="61"/>
      <name val="Microsoft Sans Serif"/>
      <family val="0"/>
    </font>
    <font>
      <u val="single"/>
      <sz val="10"/>
      <name val="Verdana"/>
      <family val="0"/>
    </font>
    <font>
      <i/>
      <sz val="10"/>
      <name val="Microsoft Sans Serif"/>
      <family val="2"/>
    </font>
    <font>
      <i/>
      <sz val="11"/>
      <name val="Microsoft Sans Serif"/>
      <family val="2"/>
    </font>
    <font>
      <sz val="11"/>
      <name val="Microsoft Sans Serif"/>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Microsoft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5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color indexed="63"/>
      </left>
      <right>
        <color indexed="63"/>
      </right>
      <top style="thin">
        <color indexed="30"/>
      </top>
      <bottom>
        <color indexed="63"/>
      </bottom>
    </border>
    <border>
      <left>
        <color indexed="63"/>
      </left>
      <right>
        <color indexed="63"/>
      </right>
      <top>
        <color indexed="63"/>
      </top>
      <bottom style="thin">
        <color indexed="30"/>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style="thin"/>
      <top style="thin"/>
      <bottom>
        <color indexed="63"/>
      </bottom>
    </border>
    <border>
      <left>
        <color indexed="63"/>
      </left>
      <right style="thin"/>
      <top style="thin"/>
      <bottom>
        <color indexed="63"/>
      </bottom>
    </border>
    <border>
      <left>
        <color indexed="63"/>
      </left>
      <right>
        <color indexed="63"/>
      </right>
      <top style="thin">
        <color indexed="8"/>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style="thin">
        <color indexed="8"/>
      </top>
      <bottom>
        <color indexed="63"/>
      </bottom>
    </border>
    <border>
      <left style="thin"/>
      <right style="thin"/>
      <top style="thin"/>
      <bottom style="thin"/>
    </border>
    <border>
      <left style="thin">
        <color indexed="8"/>
      </left>
      <right style="thin"/>
      <top style="thin"/>
      <bottom style="thin"/>
    </border>
    <border>
      <left>
        <color indexed="63"/>
      </left>
      <right>
        <color indexed="63"/>
      </right>
      <top style="thin"/>
      <bottom style="thin"/>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style="thin"/>
      <right style="thin"/>
      <top>
        <color indexed="63"/>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66" fillId="0" borderId="0" applyNumberFormat="0" applyFill="0" applyBorder="0" applyAlignment="0" applyProtection="0"/>
    <xf numFmtId="0" fontId="40"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84">
    <xf numFmtId="0" fontId="0" fillId="0" borderId="0" xfId="0" applyAlignment="1">
      <alignment/>
    </xf>
    <xf numFmtId="1" fontId="0" fillId="0" borderId="0" xfId="0" applyNumberFormat="1" applyAlignment="1">
      <alignment/>
    </xf>
    <xf numFmtId="1" fontId="0" fillId="0" borderId="0" xfId="66" applyNumberFormat="1" applyFont="1" applyAlignment="1">
      <alignment/>
    </xf>
    <xf numFmtId="0" fontId="0" fillId="0" borderId="0" xfId="0" applyFill="1" applyBorder="1" applyAlignment="1">
      <alignment/>
    </xf>
    <xf numFmtId="0" fontId="0" fillId="0" borderId="0" xfId="0" applyNumberFormat="1" applyAlignment="1">
      <alignment/>
    </xf>
    <xf numFmtId="0" fontId="0" fillId="0" borderId="0" xfId="0" applyAlignment="1">
      <alignment horizontal="left"/>
    </xf>
    <xf numFmtId="0" fontId="8" fillId="0" borderId="0" xfId="0" applyFont="1" applyAlignment="1">
      <alignment horizontal="left"/>
    </xf>
    <xf numFmtId="0" fontId="9" fillId="0" borderId="0" xfId="0" applyFont="1" applyAlignment="1">
      <alignment horizontal="left"/>
    </xf>
    <xf numFmtId="0" fontId="10" fillId="0" borderId="0" xfId="0" applyFont="1" applyAlignment="1">
      <alignment/>
    </xf>
    <xf numFmtId="0" fontId="0" fillId="0" borderId="0" xfId="0" applyFill="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Fill="1" applyAlignment="1">
      <alignment/>
    </xf>
    <xf numFmtId="0" fontId="0" fillId="0" borderId="0" xfId="63">
      <alignment/>
      <protection/>
    </xf>
    <xf numFmtId="0" fontId="0" fillId="0" borderId="0" xfId="63" applyFont="1">
      <alignment/>
      <protection/>
    </xf>
    <xf numFmtId="165" fontId="0" fillId="0" borderId="0" xfId="48" applyNumberFormat="1" applyFont="1" applyFill="1" applyAlignment="1">
      <alignment/>
    </xf>
    <xf numFmtId="165" fontId="0" fillId="0" borderId="0" xfId="48" applyNumberFormat="1" applyFont="1" applyFill="1" applyAlignment="1">
      <alignment/>
    </xf>
    <xf numFmtId="0" fontId="4" fillId="0" borderId="0" xfId="63" applyFont="1">
      <alignment/>
      <protection/>
    </xf>
    <xf numFmtId="0" fontId="4" fillId="0" borderId="0" xfId="63" applyFont="1" applyFill="1" applyBorder="1">
      <alignment/>
      <protection/>
    </xf>
    <xf numFmtId="0" fontId="0" fillId="0" borderId="0" xfId="0" applyNumberFormat="1" applyFill="1" applyAlignment="1">
      <alignment/>
    </xf>
    <xf numFmtId="1" fontId="0" fillId="0" borderId="0" xfId="48" applyNumberFormat="1" applyFont="1" applyAlignment="1">
      <alignment/>
    </xf>
    <xf numFmtId="0" fontId="0" fillId="0" borderId="0" xfId="66" applyNumberFormat="1" applyFont="1" applyAlignment="1">
      <alignment/>
    </xf>
    <xf numFmtId="0" fontId="0" fillId="0" borderId="0" xfId="48" applyNumberFormat="1" applyFont="1" applyFill="1" applyAlignment="1">
      <alignment/>
    </xf>
    <xf numFmtId="0" fontId="0" fillId="0" borderId="0" xfId="66" applyNumberFormat="1" applyFont="1" applyAlignment="1">
      <alignment/>
    </xf>
    <xf numFmtId="1" fontId="0" fillId="0" borderId="0" xfId="0" applyNumberFormat="1" applyFill="1" applyAlignment="1">
      <alignment/>
    </xf>
    <xf numFmtId="1" fontId="0" fillId="0" borderId="0" xfId="48" applyNumberFormat="1" applyFont="1" applyFill="1" applyAlignment="1">
      <alignment/>
    </xf>
    <xf numFmtId="0" fontId="0" fillId="0" borderId="0" xfId="66" applyNumberFormat="1" applyFont="1" applyFill="1" applyAlignment="1">
      <alignment/>
    </xf>
    <xf numFmtId="1" fontId="0" fillId="0" borderId="0" xfId="66" applyNumberFormat="1" applyFont="1" applyFill="1" applyAlignment="1">
      <alignment/>
    </xf>
    <xf numFmtId="1" fontId="0" fillId="0" borderId="0" xfId="66" applyNumberFormat="1" applyFont="1" applyFill="1" applyAlignment="1">
      <alignment/>
    </xf>
    <xf numFmtId="0" fontId="0" fillId="0" borderId="0" xfId="66" applyNumberFormat="1" applyFont="1" applyFill="1" applyAlignment="1">
      <alignment/>
    </xf>
    <xf numFmtId="1" fontId="0" fillId="0" borderId="0" xfId="0" applyNumberFormat="1" applyFont="1" applyFill="1" applyAlignment="1">
      <alignment/>
    </xf>
    <xf numFmtId="0" fontId="0" fillId="0" borderId="0" xfId="48" applyNumberFormat="1" applyFont="1" applyFill="1" applyAlignment="1">
      <alignment/>
    </xf>
    <xf numFmtId="1" fontId="0" fillId="0" borderId="0" xfId="0" applyNumberFormat="1" applyFont="1" applyAlignment="1">
      <alignment/>
    </xf>
    <xf numFmtId="1" fontId="0" fillId="0" borderId="10" xfId="0" applyNumberForma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12" fillId="0" borderId="0" xfId="59" applyFill="1" applyAlignment="1">
      <alignment/>
    </xf>
    <xf numFmtId="0" fontId="7" fillId="0" borderId="0" xfId="0" applyFont="1" applyFill="1" applyAlignment="1">
      <alignment/>
    </xf>
    <xf numFmtId="0" fontId="0" fillId="0" borderId="0" xfId="0" applyNumberFormat="1" applyFont="1" applyFill="1" applyAlignment="1">
      <alignment/>
    </xf>
    <xf numFmtId="0" fontId="13" fillId="0" borderId="0" xfId="0" applyFont="1" applyFill="1" applyAlignment="1">
      <alignment/>
    </xf>
    <xf numFmtId="0" fontId="14" fillId="0" borderId="0" xfId="0" applyFont="1" applyFill="1" applyAlignment="1">
      <alignment/>
    </xf>
    <xf numFmtId="9" fontId="0" fillId="0" borderId="0" xfId="0" applyNumberFormat="1" applyFill="1" applyAlignment="1">
      <alignment/>
    </xf>
    <xf numFmtId="9" fontId="0" fillId="0" borderId="0" xfId="0" applyNumberFormat="1" applyFont="1" applyFill="1" applyAlignment="1">
      <alignment/>
    </xf>
    <xf numFmtId="0" fontId="15" fillId="0" borderId="0" xfId="0" applyFont="1" applyFill="1" applyAlignment="1">
      <alignment/>
    </xf>
    <xf numFmtId="0" fontId="0" fillId="0" borderId="0" xfId="0" applyFill="1" applyAlignment="1">
      <alignment/>
    </xf>
    <xf numFmtId="1" fontId="0" fillId="0" borderId="11" xfId="0" applyNumberFormat="1" applyFill="1" applyBorder="1" applyAlignment="1">
      <alignment/>
    </xf>
    <xf numFmtId="0" fontId="0" fillId="0" borderId="0" xfId="63" applyFont="1" applyFill="1" applyBorder="1">
      <alignment/>
      <protection/>
    </xf>
    <xf numFmtId="0" fontId="16" fillId="0" borderId="0" xfId="0" applyFont="1" applyAlignment="1">
      <alignment/>
    </xf>
    <xf numFmtId="165" fontId="0" fillId="0" borderId="0" xfId="51" applyNumberFormat="1" applyFont="1" applyFill="1" applyAlignment="1">
      <alignment/>
    </xf>
    <xf numFmtId="168" fontId="0" fillId="0" borderId="0" xfId="46" applyNumberFormat="1" applyFont="1" applyFill="1" applyAlignment="1">
      <alignment wrapText="1"/>
    </xf>
    <xf numFmtId="1" fontId="0" fillId="0" borderId="0" xfId="68" applyNumberFormat="1" applyFont="1" applyFill="1" applyAlignment="1">
      <alignment/>
    </xf>
    <xf numFmtId="1" fontId="0" fillId="0" borderId="0" xfId="68" applyNumberFormat="1" applyFont="1" applyFill="1" applyAlignment="1">
      <alignment/>
    </xf>
    <xf numFmtId="166" fontId="0" fillId="0" borderId="0" xfId="51" applyNumberFormat="1" applyFont="1" applyFill="1" applyAlignment="1">
      <alignment/>
    </xf>
    <xf numFmtId="1" fontId="0" fillId="0" borderId="0" xfId="51" applyNumberFormat="1" applyFont="1" applyFill="1" applyAlignment="1">
      <alignment/>
    </xf>
    <xf numFmtId="9" fontId="0" fillId="0" borderId="0" xfId="68" applyFont="1" applyFill="1" applyAlignment="1">
      <alignment/>
    </xf>
    <xf numFmtId="168" fontId="0" fillId="0" borderId="0" xfId="46" applyNumberFormat="1" applyFont="1" applyFill="1" applyAlignment="1">
      <alignment wrapText="1"/>
    </xf>
    <xf numFmtId="2" fontId="0" fillId="0" borderId="0" xfId="68" applyNumberFormat="1" applyFont="1" applyFill="1" applyAlignment="1">
      <alignment/>
    </xf>
    <xf numFmtId="9" fontId="0" fillId="0" borderId="0" xfId="51" applyNumberFormat="1" applyFont="1" applyFill="1" applyAlignment="1">
      <alignment/>
    </xf>
    <xf numFmtId="9" fontId="0" fillId="0" borderId="0" xfId="51" applyNumberFormat="1" applyFont="1" applyFill="1" applyAlignment="1">
      <alignment/>
    </xf>
    <xf numFmtId="9" fontId="0" fillId="0" borderId="0" xfId="68" applyFont="1" applyFill="1" applyAlignment="1">
      <alignment/>
    </xf>
    <xf numFmtId="0" fontId="0" fillId="0" borderId="0" xfId="51" applyNumberFormat="1" applyFont="1" applyFill="1" applyAlignment="1">
      <alignment/>
    </xf>
    <xf numFmtId="0" fontId="0" fillId="0" borderId="0" xfId="51" applyNumberFormat="1" applyFont="1" applyFill="1" applyAlignment="1">
      <alignment/>
    </xf>
    <xf numFmtId="165" fontId="0" fillId="0" borderId="0" xfId="51" applyNumberFormat="1" applyFont="1" applyFill="1" applyAlignment="1">
      <alignment/>
    </xf>
    <xf numFmtId="166" fontId="0" fillId="0" borderId="0" xfId="51" applyNumberFormat="1" applyFont="1" applyFill="1" applyAlignment="1">
      <alignment/>
    </xf>
    <xf numFmtId="0" fontId="0" fillId="0" borderId="0" xfId="68" applyNumberFormat="1" applyFont="1" applyFill="1" applyAlignment="1">
      <alignment/>
    </xf>
    <xf numFmtId="0" fontId="0" fillId="0" borderId="0" xfId="63" applyFont="1" applyFill="1">
      <alignment/>
      <protection/>
    </xf>
    <xf numFmtId="0" fontId="0" fillId="0" borderId="0" xfId="63" applyFill="1">
      <alignment/>
      <protection/>
    </xf>
    <xf numFmtId="0" fontId="0" fillId="0" borderId="0" xfId="0" applyAlignment="1">
      <alignment/>
    </xf>
    <xf numFmtId="166" fontId="0" fillId="0" borderId="0" xfId="0" applyNumberFormat="1" applyAlignment="1">
      <alignment/>
    </xf>
    <xf numFmtId="0" fontId="4" fillId="0" borderId="0" xfId="63" applyFont="1" applyFill="1">
      <alignment/>
      <protection/>
    </xf>
    <xf numFmtId="0" fontId="11" fillId="0" borderId="0" xfId="0" applyFont="1" applyFill="1" applyAlignment="1">
      <alignment/>
    </xf>
    <xf numFmtId="9" fontId="16" fillId="0" borderId="0" xfId="0" applyNumberFormat="1" applyFont="1" applyAlignment="1">
      <alignment/>
    </xf>
    <xf numFmtId="0" fontId="7" fillId="0" borderId="0" xfId="0" applyFont="1" applyFill="1" applyAlignment="1">
      <alignment horizontal="left" vertical="center" indent="5"/>
    </xf>
    <xf numFmtId="167" fontId="0" fillId="0" borderId="0" xfId="46" applyFont="1" applyFill="1" applyAlignment="1">
      <alignment/>
    </xf>
    <xf numFmtId="0" fontId="0" fillId="0" borderId="0" xfId="68" applyNumberFormat="1" applyFont="1" applyFill="1" applyAlignment="1">
      <alignment/>
    </xf>
    <xf numFmtId="10" fontId="0" fillId="0" borderId="0" xfId="0" applyNumberFormat="1" applyFill="1" applyAlignment="1">
      <alignment/>
    </xf>
    <xf numFmtId="1" fontId="0" fillId="0" borderId="0" xfId="51" applyNumberFormat="1" applyFont="1" applyFill="1" applyAlignment="1">
      <alignment/>
    </xf>
    <xf numFmtId="0" fontId="0" fillId="0" borderId="0" xfId="46" applyNumberFormat="1" applyFont="1" applyFill="1" applyAlignment="1">
      <alignment/>
    </xf>
    <xf numFmtId="1" fontId="0" fillId="0" borderId="0" xfId="0" applyNumberFormat="1" applyFill="1" applyBorder="1" applyAlignment="1">
      <alignment/>
    </xf>
    <xf numFmtId="1" fontId="16" fillId="0" borderId="0" xfId="0" applyNumberFormat="1" applyFont="1" applyAlignment="1">
      <alignment/>
    </xf>
    <xf numFmtId="170" fontId="16" fillId="0" borderId="0" xfId="0" applyNumberFormat="1" applyFont="1" applyAlignment="1">
      <alignment/>
    </xf>
    <xf numFmtId="0" fontId="0" fillId="0" borderId="0" xfId="0" applyAlignment="1">
      <alignment horizontal="center"/>
    </xf>
    <xf numFmtId="165" fontId="0" fillId="0" borderId="0" xfId="0" applyNumberFormat="1" applyAlignment="1">
      <alignment/>
    </xf>
    <xf numFmtId="9" fontId="0" fillId="0" borderId="0" xfId="0" applyNumberFormat="1" applyAlignment="1">
      <alignment/>
    </xf>
    <xf numFmtId="0" fontId="0" fillId="0" borderId="0" xfId="0" applyAlignment="1">
      <alignment horizontal="center"/>
    </xf>
    <xf numFmtId="165" fontId="0" fillId="0" borderId="0" xfId="0" applyNumberFormat="1" applyAlignment="1">
      <alignment horizontal="center"/>
    </xf>
    <xf numFmtId="9" fontId="0" fillId="0" borderId="0" xfId="0" applyNumberFormat="1" applyAlignment="1">
      <alignment horizontal="center"/>
    </xf>
    <xf numFmtId="0" fontId="18" fillId="0" borderId="0" xfId="0" applyFont="1" applyAlignment="1">
      <alignment/>
    </xf>
    <xf numFmtId="0" fontId="19" fillId="0" borderId="0" xfId="0" applyFont="1" applyAlignment="1">
      <alignment/>
    </xf>
    <xf numFmtId="0" fontId="20" fillId="0" borderId="0" xfId="0" applyFont="1" applyFill="1" applyAlignment="1">
      <alignment/>
    </xf>
    <xf numFmtId="0" fontId="20" fillId="0" borderId="0" xfId="0" applyFont="1" applyAlignment="1">
      <alignment/>
    </xf>
    <xf numFmtId="0" fontId="20" fillId="0" borderId="0" xfId="0" applyFont="1" applyFill="1" applyBorder="1" applyAlignment="1">
      <alignment/>
    </xf>
    <xf numFmtId="0" fontId="2" fillId="0" borderId="0" xfId="0" applyFont="1" applyFill="1" applyAlignment="1">
      <alignment/>
    </xf>
    <xf numFmtId="0" fontId="21" fillId="0" borderId="0" xfId="0" applyFont="1" applyAlignment="1">
      <alignment horizontal="left"/>
    </xf>
    <xf numFmtId="0" fontId="20" fillId="0" borderId="0" xfId="0" applyFont="1" applyFill="1" applyBorder="1" applyAlignment="1">
      <alignment horizontal="center"/>
    </xf>
    <xf numFmtId="0" fontId="20" fillId="0" borderId="0" xfId="0" applyFont="1" applyAlignment="1">
      <alignment horizontal="center"/>
    </xf>
    <xf numFmtId="0" fontId="22" fillId="0" borderId="0" xfId="0" applyFont="1" applyAlignment="1">
      <alignment/>
    </xf>
    <xf numFmtId="9" fontId="22" fillId="0" borderId="0" xfId="0" applyNumberFormat="1" applyFont="1" applyAlignment="1">
      <alignment/>
    </xf>
    <xf numFmtId="1" fontId="22" fillId="0" borderId="0" xfId="0" applyNumberFormat="1" applyFont="1" applyAlignment="1">
      <alignment/>
    </xf>
    <xf numFmtId="170" fontId="22" fillId="0" borderId="0" xfId="0" applyNumberFormat="1" applyFont="1" applyAlignment="1">
      <alignment/>
    </xf>
    <xf numFmtId="0" fontId="20" fillId="0" borderId="0" xfId="0" applyFont="1" applyFill="1" applyAlignment="1">
      <alignment horizontal="center"/>
    </xf>
    <xf numFmtId="0" fontId="1" fillId="0" borderId="0" xfId="0" applyFont="1" applyAlignment="1">
      <alignment horizontal="center"/>
    </xf>
    <xf numFmtId="9" fontId="20" fillId="0" borderId="0" xfId="0" applyNumberFormat="1" applyFont="1" applyAlignment="1">
      <alignment/>
    </xf>
    <xf numFmtId="9" fontId="1" fillId="0" borderId="0" xfId="0" applyNumberFormat="1" applyFont="1" applyAlignment="1">
      <alignment horizontal="center"/>
    </xf>
    <xf numFmtId="1" fontId="20" fillId="0" borderId="0" xfId="0" applyNumberFormat="1" applyFont="1" applyAlignment="1">
      <alignment/>
    </xf>
    <xf numFmtId="0" fontId="23" fillId="0" borderId="0" xfId="0" applyFont="1" applyAlignment="1">
      <alignment/>
    </xf>
    <xf numFmtId="0" fontId="1" fillId="0" borderId="0" xfId="0" applyFont="1" applyAlignment="1">
      <alignment horizontal="left"/>
    </xf>
    <xf numFmtId="0" fontId="1" fillId="0" borderId="0" xfId="0" applyFont="1" applyAlignment="1">
      <alignment/>
    </xf>
    <xf numFmtId="0" fontId="4" fillId="0" borderId="0" xfId="0" applyFont="1" applyAlignment="1">
      <alignment/>
    </xf>
    <xf numFmtId="0" fontId="19" fillId="0" borderId="0" xfId="0" applyFont="1" applyAlignment="1">
      <alignment horizontal="left"/>
    </xf>
    <xf numFmtId="0" fontId="24" fillId="0" borderId="0" xfId="0" applyFont="1" applyAlignment="1">
      <alignment/>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xf>
    <xf numFmtId="9" fontId="27" fillId="0" borderId="0" xfId="0" applyNumberFormat="1" applyFont="1" applyAlignment="1">
      <alignment/>
    </xf>
    <xf numFmtId="1" fontId="27" fillId="0" borderId="0" xfId="0" applyNumberFormat="1" applyFont="1" applyAlignment="1">
      <alignment/>
    </xf>
    <xf numFmtId="0" fontId="25" fillId="0" borderId="0" xfId="0" applyFont="1" applyAlignment="1">
      <alignment horizontal="center"/>
    </xf>
    <xf numFmtId="0" fontId="25" fillId="0" borderId="0" xfId="0" applyFont="1" applyFill="1" applyBorder="1" applyAlignment="1">
      <alignment/>
    </xf>
    <xf numFmtId="0" fontId="25" fillId="0" borderId="0" xfId="0" applyFont="1" applyAlignment="1">
      <alignment/>
    </xf>
    <xf numFmtId="0" fontId="26" fillId="0" borderId="0" xfId="0" applyFont="1" applyAlignment="1">
      <alignment/>
    </xf>
    <xf numFmtId="0" fontId="28" fillId="0" borderId="0" xfId="0" applyFont="1" applyAlignment="1">
      <alignment/>
    </xf>
    <xf numFmtId="0" fontId="25" fillId="0" borderId="0" xfId="0" applyFont="1" applyAlignment="1">
      <alignment horizontal="center" vertical="top"/>
    </xf>
    <xf numFmtId="0" fontId="25" fillId="0" borderId="0" xfId="0" applyFont="1" applyAlignment="1">
      <alignment vertical="top"/>
    </xf>
    <xf numFmtId="0" fontId="26" fillId="0" borderId="0" xfId="0" applyFont="1" applyAlignment="1">
      <alignment vertical="top"/>
    </xf>
    <xf numFmtId="0" fontId="18"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center" vertical="center"/>
    </xf>
    <xf numFmtId="0" fontId="18" fillId="0" borderId="0" xfId="0" applyFont="1" applyAlignment="1">
      <alignment vertical="center"/>
    </xf>
    <xf numFmtId="0" fontId="24" fillId="0" borderId="0" xfId="0" applyFont="1" applyAlignment="1">
      <alignment vertical="center"/>
    </xf>
    <xf numFmtId="0" fontId="29" fillId="0" borderId="0" xfId="0" applyFont="1" applyAlignment="1">
      <alignment/>
    </xf>
    <xf numFmtId="0" fontId="29" fillId="0" borderId="0" xfId="0" applyFont="1" applyFill="1" applyAlignment="1">
      <alignment/>
    </xf>
    <xf numFmtId="0" fontId="30" fillId="0" borderId="0" xfId="0" applyFont="1" applyAlignment="1">
      <alignment vertical="center"/>
    </xf>
    <xf numFmtId="0" fontId="31" fillId="0" borderId="0" xfId="0" applyFont="1" applyAlignment="1">
      <alignment/>
    </xf>
    <xf numFmtId="9" fontId="31" fillId="0" borderId="0" xfId="0" applyNumberFormat="1" applyFont="1" applyAlignment="1">
      <alignment/>
    </xf>
    <xf numFmtId="170" fontId="31" fillId="0" borderId="0" xfId="0" applyNumberFormat="1" applyFont="1" applyAlignment="1">
      <alignment/>
    </xf>
    <xf numFmtId="170" fontId="29" fillId="0" borderId="0" xfId="0" applyNumberFormat="1" applyFont="1" applyAlignment="1">
      <alignment/>
    </xf>
    <xf numFmtId="1" fontId="29" fillId="0" borderId="0" xfId="0" applyNumberFormat="1" applyFont="1" applyAlignment="1">
      <alignment/>
    </xf>
    <xf numFmtId="1" fontId="31" fillId="0" borderId="0" xfId="0" applyNumberFormat="1" applyFont="1" applyAlignment="1">
      <alignment/>
    </xf>
    <xf numFmtId="0" fontId="3" fillId="0" borderId="0" xfId="0" applyFont="1" applyAlignment="1">
      <alignment/>
    </xf>
    <xf numFmtId="0" fontId="0" fillId="0" borderId="0" xfId="0" applyFont="1" applyAlignment="1">
      <alignment/>
    </xf>
    <xf numFmtId="9" fontId="20" fillId="0" borderId="0" xfId="0" applyNumberFormat="1" applyFont="1" applyAlignment="1">
      <alignment horizontal="center"/>
    </xf>
    <xf numFmtId="0" fontId="29" fillId="0" borderId="0" xfId="0" applyFont="1" applyAlignment="1">
      <alignment horizontal="left" vertical="center"/>
    </xf>
    <xf numFmtId="0" fontId="32" fillId="0" borderId="0" xfId="0" applyFont="1" applyAlignment="1">
      <alignment horizontal="left"/>
    </xf>
    <xf numFmtId="0" fontId="23" fillId="0" borderId="0" xfId="0" applyFont="1" applyAlignment="1">
      <alignment horizontal="center"/>
    </xf>
    <xf numFmtId="0" fontId="20" fillId="0" borderId="0" xfId="0" applyFont="1" applyBorder="1" applyAlignment="1">
      <alignment/>
    </xf>
    <xf numFmtId="0" fontId="23" fillId="0" borderId="0" xfId="0" applyFont="1" applyAlignment="1">
      <alignment horizontal="left"/>
    </xf>
    <xf numFmtId="0" fontId="20" fillId="0" borderId="0" xfId="0" applyFont="1" applyAlignment="1">
      <alignment horizontal="left"/>
    </xf>
    <xf numFmtId="165" fontId="20" fillId="0" borderId="0" xfId="0" applyNumberFormat="1" applyFont="1" applyAlignment="1">
      <alignment/>
    </xf>
    <xf numFmtId="0" fontId="18" fillId="33" borderId="0" xfId="0" applyFont="1" applyFill="1" applyAlignment="1">
      <alignment/>
    </xf>
    <xf numFmtId="0" fontId="33" fillId="33" borderId="12" xfId="0" applyFont="1" applyFill="1" applyBorder="1" applyAlignment="1">
      <alignment horizontal="left"/>
    </xf>
    <xf numFmtId="0" fontId="33" fillId="33" borderId="0" xfId="0" applyFont="1" applyFill="1"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right"/>
    </xf>
    <xf numFmtId="9" fontId="20" fillId="0" borderId="0" xfId="0" applyNumberFormat="1" applyFont="1" applyAlignment="1">
      <alignment horizontal="right"/>
    </xf>
    <xf numFmtId="0" fontId="31" fillId="33" borderId="13" xfId="0" applyFont="1" applyFill="1" applyBorder="1" applyAlignment="1">
      <alignment/>
    </xf>
    <xf numFmtId="165" fontId="1" fillId="0" borderId="0" xfId="0" applyNumberFormat="1" applyFont="1" applyAlignment="1">
      <alignment/>
    </xf>
    <xf numFmtId="9" fontId="1" fillId="0" borderId="0" xfId="0" applyNumberFormat="1" applyFont="1" applyAlignment="1">
      <alignment horizontal="right"/>
    </xf>
    <xf numFmtId="0" fontId="31" fillId="34" borderId="0" xfId="0" applyFont="1" applyFill="1" applyAlignment="1">
      <alignment horizontal="left"/>
    </xf>
    <xf numFmtId="0" fontId="1" fillId="0" borderId="0" xfId="0" applyFont="1" applyFill="1" applyBorder="1" applyAlignment="1">
      <alignment/>
    </xf>
    <xf numFmtId="0" fontId="1" fillId="0" borderId="0" xfId="0" applyFont="1" applyFill="1" applyAlignment="1">
      <alignment/>
    </xf>
    <xf numFmtId="0" fontId="2" fillId="0" borderId="0" xfId="0" applyFont="1" applyAlignment="1">
      <alignment/>
    </xf>
    <xf numFmtId="0" fontId="20" fillId="0" borderId="14" xfId="0" applyFont="1" applyBorder="1" applyAlignment="1">
      <alignment/>
    </xf>
    <xf numFmtId="0" fontId="20" fillId="0" borderId="15" xfId="0" applyFont="1" applyBorder="1" applyAlignment="1">
      <alignment/>
    </xf>
    <xf numFmtId="0" fontId="20" fillId="0" borderId="16" xfId="0" applyNumberFormat="1" applyFont="1" applyBorder="1" applyAlignment="1">
      <alignment horizontal="center"/>
    </xf>
    <xf numFmtId="0" fontId="20" fillId="0" borderId="17" xfId="0" applyNumberFormat="1" applyFont="1" applyBorder="1" applyAlignment="1">
      <alignment horizontal="center"/>
    </xf>
    <xf numFmtId="0" fontId="20" fillId="0" borderId="16" xfId="0" applyNumberFormat="1" applyFont="1" applyBorder="1" applyAlignment="1">
      <alignment horizontal="center"/>
    </xf>
    <xf numFmtId="0" fontId="20" fillId="0" borderId="17" xfId="0" applyNumberFormat="1" applyFont="1" applyBorder="1" applyAlignment="1">
      <alignment horizontal="center"/>
    </xf>
    <xf numFmtId="0" fontId="20" fillId="0" borderId="0" xfId="0" applyNumberFormat="1" applyFont="1" applyFill="1" applyBorder="1" applyAlignment="1">
      <alignment/>
    </xf>
    <xf numFmtId="0" fontId="20" fillId="0" borderId="0" xfId="0" applyNumberFormat="1" applyFont="1" applyBorder="1" applyAlignment="1">
      <alignment/>
    </xf>
    <xf numFmtId="0" fontId="20" fillId="0" borderId="18" xfId="0" applyNumberFormat="1" applyFont="1" applyBorder="1" applyAlignment="1">
      <alignment horizontal="center"/>
    </xf>
    <xf numFmtId="0" fontId="20" fillId="0" borderId="19" xfId="0" applyNumberFormat="1" applyFont="1" applyBorder="1" applyAlignment="1">
      <alignment horizontal="center"/>
    </xf>
    <xf numFmtId="0" fontId="20" fillId="0" borderId="20" xfId="0" applyNumberFormat="1" applyFont="1" applyBorder="1" applyAlignment="1">
      <alignment horizontal="center"/>
    </xf>
    <xf numFmtId="0" fontId="20" fillId="0" borderId="19" xfId="0" applyNumberFormat="1" applyFont="1" applyBorder="1" applyAlignment="1">
      <alignment horizontal="center"/>
    </xf>
    <xf numFmtId="0" fontId="20" fillId="0" borderId="0" xfId="0" applyFont="1" applyBorder="1" applyAlignment="1">
      <alignment horizontal="center"/>
    </xf>
    <xf numFmtId="0" fontId="20" fillId="0" borderId="21" xfId="0" applyNumberFormat="1" applyFont="1" applyBorder="1" applyAlignment="1">
      <alignment horizontal="center"/>
    </xf>
    <xf numFmtId="1" fontId="20" fillId="0" borderId="0" xfId="0" applyNumberFormat="1" applyFont="1" applyBorder="1" applyAlignment="1">
      <alignment horizontal="center"/>
    </xf>
    <xf numFmtId="170" fontId="20" fillId="0" borderId="0" xfId="0" applyNumberFormat="1" applyFont="1" applyAlignment="1">
      <alignment/>
    </xf>
    <xf numFmtId="165" fontId="20" fillId="0" borderId="0" xfId="48" applyNumberFormat="1" applyFont="1" applyFill="1" applyAlignment="1">
      <alignment/>
    </xf>
    <xf numFmtId="165" fontId="20" fillId="0" borderId="0" xfId="48" applyNumberFormat="1" applyFont="1" applyAlignment="1">
      <alignment/>
    </xf>
    <xf numFmtId="0" fontId="29" fillId="0" borderId="0" xfId="0" applyFont="1" applyAlignment="1">
      <alignment horizontal="center"/>
    </xf>
    <xf numFmtId="0" fontId="34" fillId="0" borderId="0" xfId="0" applyFont="1" applyFill="1" applyBorder="1" applyAlignment="1">
      <alignment/>
    </xf>
    <xf numFmtId="0" fontId="1" fillId="0" borderId="0" xfId="0" applyNumberFormat="1" applyFont="1" applyBorder="1" applyAlignment="1">
      <alignment/>
    </xf>
    <xf numFmtId="0" fontId="34" fillId="0" borderId="0" xfId="0" applyNumberFormat="1" applyFont="1" applyBorder="1" applyAlignment="1">
      <alignment/>
    </xf>
    <xf numFmtId="0" fontId="29" fillId="0" borderId="0" xfId="0" applyFont="1" applyFill="1" applyBorder="1" applyAlignment="1">
      <alignment/>
    </xf>
    <xf numFmtId="1" fontId="1" fillId="0" borderId="0" xfId="0" applyNumberFormat="1" applyFont="1" applyAlignment="1">
      <alignment/>
    </xf>
    <xf numFmtId="170" fontId="1" fillId="0" borderId="0" xfId="0" applyNumberFormat="1" applyFont="1" applyAlignment="1">
      <alignment/>
    </xf>
    <xf numFmtId="170" fontId="25" fillId="0" borderId="0" xfId="0" applyNumberFormat="1" applyFont="1" applyAlignment="1">
      <alignment/>
    </xf>
    <xf numFmtId="9" fontId="1" fillId="0" borderId="0" xfId="0" applyNumberFormat="1" applyFont="1" applyAlignment="1">
      <alignment horizontal="left"/>
    </xf>
    <xf numFmtId="0" fontId="20" fillId="0" borderId="0" xfId="0" applyFont="1" applyAlignment="1">
      <alignment/>
    </xf>
    <xf numFmtId="0" fontId="1" fillId="0" borderId="19" xfId="0" applyFont="1" applyBorder="1" applyAlignment="1">
      <alignment horizontal="left"/>
    </xf>
    <xf numFmtId="0" fontId="1" fillId="0" borderId="19" xfId="0" applyFont="1" applyBorder="1" applyAlignment="1">
      <alignment horizontal="left"/>
    </xf>
    <xf numFmtId="0" fontId="1" fillId="0" borderId="22" xfId="0" applyFont="1" applyBorder="1" applyAlignment="1">
      <alignment horizontal="left"/>
    </xf>
    <xf numFmtId="0" fontId="1" fillId="0" borderId="23" xfId="0" applyNumberFormat="1" applyFont="1" applyBorder="1" applyAlignment="1">
      <alignment horizontal="center"/>
    </xf>
    <xf numFmtId="0" fontId="1" fillId="0" borderId="11" xfId="0" applyNumberFormat="1" applyFont="1" applyBorder="1" applyAlignment="1">
      <alignment horizontal="center"/>
    </xf>
    <xf numFmtId="0" fontId="31" fillId="34" borderId="22" xfId="0" applyFont="1" applyFill="1" applyBorder="1" applyAlignment="1">
      <alignment horizontal="left"/>
    </xf>
    <xf numFmtId="0" fontId="31" fillId="34" borderId="23" xfId="0" applyFont="1" applyFill="1" applyBorder="1" applyAlignment="1">
      <alignment horizontal="center"/>
    </xf>
    <xf numFmtId="0" fontId="31" fillId="34" borderId="11" xfId="0" applyFont="1" applyFill="1" applyBorder="1" applyAlignment="1">
      <alignment horizontal="center"/>
    </xf>
    <xf numFmtId="0" fontId="20" fillId="0" borderId="0" xfId="0" applyFont="1" applyFill="1" applyAlignment="1">
      <alignment/>
    </xf>
    <xf numFmtId="0" fontId="20" fillId="0" borderId="0" xfId="0" applyFont="1" applyFill="1" applyAlignment="1">
      <alignment horizontal="left"/>
    </xf>
    <xf numFmtId="0" fontId="29" fillId="0" borderId="0" xfId="0" applyFont="1" applyAlignment="1">
      <alignment horizontal="left"/>
    </xf>
    <xf numFmtId="1" fontId="20" fillId="0" borderId="0" xfId="0" applyNumberFormat="1" applyFont="1" applyFill="1" applyAlignment="1">
      <alignment horizontal="left"/>
    </xf>
    <xf numFmtId="1" fontId="20" fillId="0" borderId="0" xfId="48" applyNumberFormat="1" applyFont="1" applyFill="1" applyAlignment="1">
      <alignment horizontal="left"/>
    </xf>
    <xf numFmtId="0" fontId="20" fillId="0" borderId="0" xfId="66" applyNumberFormat="1" applyFont="1" applyFill="1" applyAlignment="1">
      <alignment horizontal="left"/>
    </xf>
    <xf numFmtId="0" fontId="20" fillId="0" borderId="0" xfId="48" applyNumberFormat="1" applyFont="1" applyFill="1" applyAlignment="1">
      <alignment horizontal="left"/>
    </xf>
    <xf numFmtId="1" fontId="20" fillId="0" borderId="0" xfId="66" applyNumberFormat="1" applyFont="1" applyFill="1" applyAlignment="1">
      <alignment horizontal="left"/>
    </xf>
    <xf numFmtId="0" fontId="20" fillId="0" borderId="0" xfId="0" applyNumberFormat="1" applyFont="1" applyFill="1" applyAlignment="1">
      <alignment horizontal="left"/>
    </xf>
    <xf numFmtId="0" fontId="31" fillId="34" borderId="24" xfId="0" applyFont="1" applyFill="1" applyBorder="1" applyAlignment="1">
      <alignment horizontal="center"/>
    </xf>
    <xf numFmtId="0" fontId="31" fillId="34" borderId="22" xfId="0" applyFont="1" applyFill="1" applyBorder="1" applyAlignment="1">
      <alignment horizontal="center"/>
    </xf>
    <xf numFmtId="0" fontId="1" fillId="0" borderId="24" xfId="0" applyNumberFormat="1" applyFont="1" applyBorder="1" applyAlignment="1">
      <alignment horizontal="center"/>
    </xf>
    <xf numFmtId="0" fontId="1" fillId="0" borderId="22" xfId="0" applyNumberFormat="1" applyFont="1" applyBorder="1" applyAlignment="1">
      <alignment horizontal="center"/>
    </xf>
    <xf numFmtId="0" fontId="31" fillId="34" borderId="10" xfId="0" applyFont="1" applyFill="1" applyBorder="1" applyAlignment="1">
      <alignment horizontal="center"/>
    </xf>
    <xf numFmtId="0" fontId="1" fillId="0" borderId="25" xfId="0" applyFont="1" applyBorder="1" applyAlignment="1">
      <alignment horizontal="left"/>
    </xf>
    <xf numFmtId="0" fontId="1" fillId="0" borderId="26" xfId="0" applyFont="1" applyBorder="1" applyAlignment="1">
      <alignment horizontal="left"/>
    </xf>
    <xf numFmtId="0" fontId="31" fillId="34" borderId="10" xfId="0" applyFont="1" applyFill="1" applyBorder="1" applyAlignment="1">
      <alignment horizontal="left"/>
    </xf>
    <xf numFmtId="0" fontId="3" fillId="0" borderId="0" xfId="0" applyFont="1" applyAlignment="1">
      <alignment horizontal="left"/>
    </xf>
    <xf numFmtId="170" fontId="20" fillId="0" borderId="0" xfId="0" applyNumberFormat="1" applyFont="1" applyAlignment="1">
      <alignment horizontal="left"/>
    </xf>
    <xf numFmtId="1" fontId="20" fillId="0" borderId="0" xfId="0" applyNumberFormat="1" applyFont="1" applyAlignment="1">
      <alignment horizontal="left"/>
    </xf>
    <xf numFmtId="0" fontId="2" fillId="0" borderId="0" xfId="0" applyFont="1" applyAlignment="1">
      <alignment horizontal="left"/>
    </xf>
    <xf numFmtId="9" fontId="20" fillId="0" borderId="0" xfId="0" applyNumberFormat="1" applyFont="1" applyAlignment="1">
      <alignment horizontal="left"/>
    </xf>
    <xf numFmtId="0" fontId="29" fillId="0" borderId="0" xfId="0" applyFont="1" applyFill="1" applyAlignment="1">
      <alignment horizontal="center"/>
    </xf>
    <xf numFmtId="9" fontId="29" fillId="0" borderId="0" xfId="0" applyNumberFormat="1" applyFont="1" applyAlignment="1">
      <alignment/>
    </xf>
    <xf numFmtId="0" fontId="35" fillId="0" borderId="22" xfId="0" applyFont="1" applyFill="1" applyBorder="1" applyAlignment="1">
      <alignment horizontal="center"/>
    </xf>
    <xf numFmtId="0" fontId="35" fillId="0" borderId="22" xfId="0" applyFont="1" applyFill="1" applyBorder="1" applyAlignment="1">
      <alignment horizontal="left"/>
    </xf>
    <xf numFmtId="0" fontId="20" fillId="0" borderId="27" xfId="0" applyFont="1" applyFill="1" applyBorder="1" applyAlignment="1">
      <alignment horizontal="left"/>
    </xf>
    <xf numFmtId="0" fontId="29" fillId="0" borderId="0" xfId="0" applyFont="1" applyFill="1" applyAlignment="1">
      <alignment horizontal="left"/>
    </xf>
    <xf numFmtId="0" fontId="35" fillId="0" borderId="22" xfId="0" applyFont="1" applyBorder="1" applyAlignment="1">
      <alignment horizontal="center"/>
    </xf>
    <xf numFmtId="0" fontId="29" fillId="0" borderId="0" xfId="0" applyFont="1" applyFill="1" applyBorder="1" applyAlignment="1">
      <alignment horizontal="left" wrapText="1"/>
    </xf>
    <xf numFmtId="0" fontId="29" fillId="0" borderId="0" xfId="0" applyFont="1" applyFill="1" applyAlignment="1">
      <alignment horizontal="center" wrapText="1"/>
    </xf>
    <xf numFmtId="0" fontId="29" fillId="0" borderId="0" xfId="0" applyFont="1" applyFill="1" applyAlignment="1">
      <alignment horizontal="left" wrapText="1"/>
    </xf>
    <xf numFmtId="0" fontId="20" fillId="0" borderId="22" xfId="0" applyFont="1" applyFill="1" applyBorder="1" applyAlignment="1">
      <alignment horizontal="center"/>
    </xf>
    <xf numFmtId="49" fontId="20" fillId="0" borderId="0" xfId="0" applyNumberFormat="1" applyFont="1" applyAlignment="1">
      <alignment/>
    </xf>
    <xf numFmtId="9" fontId="20" fillId="0" borderId="0" xfId="66" applyFont="1" applyAlignment="1">
      <alignment/>
    </xf>
    <xf numFmtId="0" fontId="36" fillId="0" borderId="0" xfId="0" applyFont="1" applyFill="1" applyAlignment="1">
      <alignment/>
    </xf>
    <xf numFmtId="0" fontId="37" fillId="0" borderId="0" xfId="0" applyFont="1" applyFill="1" applyAlignment="1">
      <alignment/>
    </xf>
    <xf numFmtId="0" fontId="25" fillId="0" borderId="0" xfId="0" applyFont="1" applyFill="1" applyAlignment="1">
      <alignment/>
    </xf>
    <xf numFmtId="0" fontId="3" fillId="0" borderId="0" xfId="0" applyFont="1" applyFill="1" applyAlignment="1">
      <alignment/>
    </xf>
    <xf numFmtId="0" fontId="20" fillId="0" borderId="0" xfId="0" applyFont="1" applyAlignment="1">
      <alignment vertical="center"/>
    </xf>
    <xf numFmtId="0" fontId="20" fillId="0" borderId="0" xfId="0" applyFont="1" applyFill="1" applyAlignment="1">
      <alignment vertical="center"/>
    </xf>
    <xf numFmtId="0" fontId="20" fillId="0" borderId="0" xfId="0" applyFont="1" applyFill="1" applyBorder="1" applyAlignment="1">
      <alignment vertical="center"/>
    </xf>
    <xf numFmtId="0" fontId="20" fillId="0" borderId="0" xfId="0" applyFont="1" applyFill="1" applyBorder="1" applyAlignment="1">
      <alignment horizontal="left" vertical="center"/>
    </xf>
    <xf numFmtId="0" fontId="20" fillId="0" borderId="0" xfId="0" applyFont="1" applyAlignment="1">
      <alignment horizontal="left" vertical="center"/>
    </xf>
    <xf numFmtId="0" fontId="20" fillId="0" borderId="0" xfId="0" applyFont="1" applyFill="1" applyBorder="1" applyAlignment="1">
      <alignment vertical="center" wrapText="1"/>
    </xf>
    <xf numFmtId="0" fontId="20" fillId="0" borderId="0" xfId="0" applyFont="1" applyAlignment="1">
      <alignment vertical="center" wrapText="1"/>
    </xf>
    <xf numFmtId="169" fontId="1" fillId="0" borderId="0" xfId="0" applyNumberFormat="1" applyFont="1" applyAlignment="1">
      <alignment horizontal="center"/>
    </xf>
    <xf numFmtId="0" fontId="1" fillId="0" borderId="0" xfId="0" applyFont="1" applyAlignment="1">
      <alignment/>
    </xf>
    <xf numFmtId="0" fontId="29" fillId="0" borderId="0" xfId="0" applyFont="1" applyAlignment="1">
      <alignment/>
    </xf>
    <xf numFmtId="0" fontId="29" fillId="0" borderId="0" xfId="0" applyFont="1" applyFill="1" applyBorder="1" applyAlignment="1">
      <alignment horizontal="left"/>
    </xf>
    <xf numFmtId="0" fontId="29" fillId="0" borderId="0" xfId="0" applyFont="1" applyAlignment="1">
      <alignment horizontal="center" wrapText="1"/>
    </xf>
    <xf numFmtId="0" fontId="1" fillId="0" borderId="0" xfId="0" applyFont="1" applyFill="1" applyAlignment="1">
      <alignment horizontal="center"/>
    </xf>
    <xf numFmtId="0" fontId="1" fillId="0" borderId="0" xfId="0" applyFont="1" applyAlignment="1">
      <alignment vertical="center"/>
    </xf>
    <xf numFmtId="0" fontId="20" fillId="0" borderId="0" xfId="0" applyFont="1" applyFill="1" applyAlignment="1">
      <alignment horizontal="left" vertical="center"/>
    </xf>
    <xf numFmtId="0" fontId="20" fillId="0" borderId="0" xfId="0" applyFont="1" applyFill="1" applyAlignment="1">
      <alignment horizontal="left" vertical="center" wrapText="1"/>
    </xf>
    <xf numFmtId="0" fontId="1" fillId="0" borderId="0" xfId="0" applyFont="1" applyFill="1" applyAlignment="1">
      <alignment horizontal="left"/>
    </xf>
    <xf numFmtId="0" fontId="25" fillId="0" borderId="0" xfId="0" applyFont="1" applyAlignment="1">
      <alignment horizontal="left"/>
    </xf>
    <xf numFmtId="169" fontId="1" fillId="0" borderId="0" xfId="0" applyNumberFormat="1" applyFont="1" applyAlignment="1">
      <alignment horizontal="left"/>
    </xf>
    <xf numFmtId="0" fontId="25" fillId="0" borderId="0" xfId="63" applyFont="1" applyAlignment="1">
      <alignment horizontal="center"/>
      <protection/>
    </xf>
    <xf numFmtId="0" fontId="25" fillId="0" borderId="0" xfId="63" applyFont="1">
      <alignment/>
      <protection/>
    </xf>
    <xf numFmtId="0" fontId="29" fillId="0" borderId="0" xfId="63" applyFont="1" applyAlignment="1">
      <alignment/>
      <protection/>
    </xf>
    <xf numFmtId="0" fontId="38" fillId="0" borderId="0" xfId="0" applyFont="1" applyFill="1" applyAlignment="1">
      <alignment horizontal="left"/>
    </xf>
    <xf numFmtId="0" fontId="19" fillId="0" borderId="0" xfId="0" applyFont="1" applyAlignment="1">
      <alignment/>
    </xf>
    <xf numFmtId="0" fontId="22" fillId="0" borderId="0" xfId="0" applyFont="1" applyAlignment="1">
      <alignment/>
    </xf>
    <xf numFmtId="0" fontId="39" fillId="0" borderId="0" xfId="0" applyFont="1" applyAlignment="1">
      <alignment/>
    </xf>
    <xf numFmtId="0" fontId="25" fillId="0" borderId="0" xfId="0" applyFont="1" applyFill="1" applyAlignment="1">
      <alignment vertical="center"/>
    </xf>
    <xf numFmtId="0" fontId="25" fillId="0" borderId="0" xfId="0" applyFont="1" applyFill="1" applyBorder="1" applyAlignment="1">
      <alignment vertical="center"/>
    </xf>
    <xf numFmtId="0" fontId="31" fillId="0" borderId="0" xfId="0" applyFont="1" applyAlignment="1">
      <alignment/>
    </xf>
    <xf numFmtId="0" fontId="41" fillId="0" borderId="0" xfId="59" applyFont="1" applyFill="1" applyAlignment="1">
      <alignment/>
    </xf>
    <xf numFmtId="0" fontId="22" fillId="0" borderId="25" xfId="0" applyFont="1" applyFill="1" applyBorder="1" applyAlignment="1">
      <alignment/>
    </xf>
    <xf numFmtId="0" fontId="31" fillId="34" borderId="22" xfId="0" applyFont="1" applyFill="1" applyBorder="1" applyAlignment="1">
      <alignment/>
    </xf>
    <xf numFmtId="0" fontId="31" fillId="0" borderId="22" xfId="0" applyFont="1" applyFill="1" applyBorder="1" applyAlignment="1">
      <alignment/>
    </xf>
    <xf numFmtId="0" fontId="31" fillId="34" borderId="10" xfId="0" applyFont="1" applyFill="1" applyBorder="1" applyAlignment="1">
      <alignment/>
    </xf>
    <xf numFmtId="0" fontId="42" fillId="0" borderId="0" xfId="0" applyFont="1" applyFill="1" applyAlignment="1">
      <alignment vertical="top" wrapText="1"/>
    </xf>
    <xf numFmtId="0" fontId="0" fillId="0" borderId="0" xfId="0" applyFont="1" applyAlignment="1">
      <alignment/>
    </xf>
    <xf numFmtId="0" fontId="43" fillId="0" borderId="0" xfId="0" applyFont="1" applyFill="1" applyAlignment="1">
      <alignment vertical="top" wrapText="1"/>
    </xf>
    <xf numFmtId="0" fontId="44" fillId="0" borderId="0" xfId="0" applyFont="1" applyAlignment="1">
      <alignment/>
    </xf>
    <xf numFmtId="0" fontId="0" fillId="0" borderId="0" xfId="0" applyAlignment="1">
      <alignment/>
    </xf>
    <xf numFmtId="0" fontId="25" fillId="0" borderId="0" xfId="0" applyFont="1" applyAlignment="1">
      <alignment horizontal="left" vertical="top" wrapText="1"/>
    </xf>
    <xf numFmtId="0" fontId="1" fillId="0" borderId="0" xfId="0" applyFont="1" applyAlignment="1">
      <alignment horizontal="left"/>
    </xf>
    <xf numFmtId="0" fontId="0" fillId="0" borderId="0" xfId="0" applyFont="1" applyAlignment="1">
      <alignment horizontal="center"/>
    </xf>
    <xf numFmtId="0" fontId="0" fillId="0" borderId="0" xfId="0" applyAlignment="1">
      <alignment horizontal="center"/>
    </xf>
    <xf numFmtId="0" fontId="20" fillId="0" borderId="0" xfId="0" applyFont="1" applyFill="1" applyAlignment="1">
      <alignment horizontal="left" wrapText="1"/>
    </xf>
    <xf numFmtId="0" fontId="20" fillId="0" borderId="0" xfId="0" applyFont="1" applyFill="1" applyAlignment="1">
      <alignment horizontal="left" vertical="center" wrapText="1"/>
    </xf>
    <xf numFmtId="0" fontId="1" fillId="0" borderId="0" xfId="0" applyFont="1" applyAlignment="1">
      <alignment horizont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te" xfId="64"/>
    <cellStyle name="Output" xfId="65"/>
    <cellStyle name="Percent" xfId="66"/>
    <cellStyle name="Percent 2" xfId="67"/>
    <cellStyle name="Percent 3" xfId="68"/>
    <cellStyle name="Title" xfId="69"/>
    <cellStyle name="Total" xfId="70"/>
    <cellStyle name="Warning Text" xfId="71"/>
  </cellStyles>
  <dxfs count="3">
    <dxf>
      <border/>
    </dxf>
    <dxf>
      <alignment horizontal="center" readingOrder="0"/>
      <border/>
    </dxf>
    <dxf>
      <numFmt numFmtId="13" formatCode="# ??/??"/>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pivotCacheDefinition" Target="pivotCache/pivotCacheDefinition4.xml" /><Relationship Id="rId13" Type="http://schemas.openxmlformats.org/officeDocument/2006/relationships/pivotCacheDefinition" Target="pivotCache/pivotCacheDefinition3.xml" /><Relationship Id="rId14" Type="http://schemas.openxmlformats.org/officeDocument/2006/relationships/pivotCacheDefinition" Target="pivotCache/pivotCacheDefinition2.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123825</xdr:colOff>
      <xdr:row>1</xdr:row>
      <xdr:rowOff>66675</xdr:rowOff>
    </xdr:to>
    <xdr:pic>
      <xdr:nvPicPr>
        <xdr:cNvPr id="1" name="Picture 2"/>
        <xdr:cNvPicPr preferRelativeResize="1">
          <a:picLocks noChangeAspect="1"/>
        </xdr:cNvPicPr>
      </xdr:nvPicPr>
      <xdr:blipFill>
        <a:blip r:embed="rId1"/>
        <a:stretch>
          <a:fillRect/>
        </a:stretch>
      </xdr:blipFill>
      <xdr:spPr>
        <a:xfrm>
          <a:off x="0" y="0"/>
          <a:ext cx="7991475" cy="2200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219075</xdr:colOff>
      <xdr:row>5</xdr:row>
      <xdr:rowOff>180975</xdr:rowOff>
    </xdr:to>
    <xdr:pic>
      <xdr:nvPicPr>
        <xdr:cNvPr id="1" name="Picture 2"/>
        <xdr:cNvPicPr preferRelativeResize="1">
          <a:picLocks noChangeAspect="1"/>
        </xdr:cNvPicPr>
      </xdr:nvPicPr>
      <xdr:blipFill>
        <a:blip r:embed="rId1"/>
        <a:stretch>
          <a:fillRect/>
        </a:stretch>
      </xdr:blipFill>
      <xdr:spPr>
        <a:xfrm>
          <a:off x="0" y="0"/>
          <a:ext cx="7991475" cy="2200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438150</xdr:colOff>
      <xdr:row>5</xdr:row>
      <xdr:rowOff>219075</xdr:rowOff>
    </xdr:to>
    <xdr:pic>
      <xdr:nvPicPr>
        <xdr:cNvPr id="1" name="Picture 2"/>
        <xdr:cNvPicPr preferRelativeResize="1">
          <a:picLocks noChangeAspect="1"/>
        </xdr:cNvPicPr>
      </xdr:nvPicPr>
      <xdr:blipFill>
        <a:blip r:embed="rId1"/>
        <a:stretch>
          <a:fillRect/>
        </a:stretch>
      </xdr:blipFill>
      <xdr:spPr>
        <a:xfrm>
          <a:off x="0" y="0"/>
          <a:ext cx="7991475" cy="2200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923925</xdr:colOff>
      <xdr:row>5</xdr:row>
      <xdr:rowOff>200025</xdr:rowOff>
    </xdr:to>
    <xdr:pic>
      <xdr:nvPicPr>
        <xdr:cNvPr id="1" name="Picture 2"/>
        <xdr:cNvPicPr preferRelativeResize="1">
          <a:picLocks noChangeAspect="1"/>
        </xdr:cNvPicPr>
      </xdr:nvPicPr>
      <xdr:blipFill>
        <a:blip r:embed="rId1"/>
        <a:stretch>
          <a:fillRect/>
        </a:stretch>
      </xdr:blipFill>
      <xdr:spPr>
        <a:xfrm>
          <a:off x="0" y="0"/>
          <a:ext cx="7991475" cy="2200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0</xdr:colOff>
      <xdr:row>5</xdr:row>
      <xdr:rowOff>200025</xdr:rowOff>
    </xdr:to>
    <xdr:pic>
      <xdr:nvPicPr>
        <xdr:cNvPr id="1" name="Picture 2"/>
        <xdr:cNvPicPr preferRelativeResize="1">
          <a:picLocks noChangeAspect="1"/>
        </xdr:cNvPicPr>
      </xdr:nvPicPr>
      <xdr:blipFill>
        <a:blip r:embed="rId1"/>
        <a:stretch>
          <a:fillRect/>
        </a:stretch>
      </xdr:blipFill>
      <xdr:spPr>
        <a:xfrm>
          <a:off x="0" y="0"/>
          <a:ext cx="7991475" cy="2200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752475</xdr:colOff>
      <xdr:row>5</xdr:row>
      <xdr:rowOff>200025</xdr:rowOff>
    </xdr:to>
    <xdr:pic>
      <xdr:nvPicPr>
        <xdr:cNvPr id="1" name="Picture 2"/>
        <xdr:cNvPicPr preferRelativeResize="1">
          <a:picLocks noChangeAspect="1"/>
        </xdr:cNvPicPr>
      </xdr:nvPicPr>
      <xdr:blipFill>
        <a:blip r:embed="rId1"/>
        <a:stretch>
          <a:fillRect/>
        </a:stretch>
      </xdr:blipFill>
      <xdr:spPr>
        <a:xfrm>
          <a:off x="0" y="0"/>
          <a:ext cx="7991475" cy="2200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571500</xdr:colOff>
      <xdr:row>5</xdr:row>
      <xdr:rowOff>200025</xdr:rowOff>
    </xdr:to>
    <xdr:pic>
      <xdr:nvPicPr>
        <xdr:cNvPr id="1" name="Picture 2"/>
        <xdr:cNvPicPr preferRelativeResize="1">
          <a:picLocks noChangeAspect="1"/>
        </xdr:cNvPicPr>
      </xdr:nvPicPr>
      <xdr:blipFill>
        <a:blip r:embed="rId1"/>
        <a:stretch>
          <a:fillRect/>
        </a:stretch>
      </xdr:blipFill>
      <xdr:spPr>
        <a:xfrm>
          <a:off x="0" y="0"/>
          <a:ext cx="7991475" cy="220027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C182" sheet="Budget Data-2014"/>
  </cacheSource>
  <cacheFields count="3">
    <cacheField name="Member">
      <sharedItems containsMixedTypes="0" count="31">
        <s v="ACHANGE"/>
        <s v="CCEDA"/>
        <s v="EBHO"/>
        <s v="SCANPH"/>
        <s v="CHC"/>
        <s v="CNHED"/>
        <s v="HAND"/>
        <s v="DHC"/>
        <s v="FLACDC"/>
        <s v="SFCDC"/>
        <s v="GSTAND"/>
        <s v="CRN"/>
        <s v="HAI"/>
        <s v="IACED"/>
        <s v="MACDC"/>
        <s v="CDAD"/>
        <s v="CEDAM"/>
        <s v="MCCD"/>
        <s v="CBN"/>
        <s v="HCDNNJ"/>
        <s v="NPCNY"/>
        <s v="NACDC"/>
        <s v="OCDCA"/>
        <s v="OON"/>
        <s v="HAP"/>
        <s v="PACDC"/>
        <s v="HNRI"/>
        <s v="SCACDC"/>
        <s v="CD Council"/>
        <s v="TACDC"/>
        <s v="LHA"/>
      </sharedItems>
    </cacheField>
    <cacheField name="Data">
      <sharedItems containsSemiMixedTypes="0" containsString="0" containsMixedTypes="0" containsNumber="1"/>
    </cacheField>
    <cacheField name="Label">
      <sharedItems containsMixedTypes="0" count="6">
        <s v="Membership"/>
        <s v="Government"/>
        <s v="Foundations"/>
        <s v="Banks"/>
        <s v="Fundraising"/>
        <s v="Earned"/>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J3:L63" sheet="Membership Data 2014"/>
  </cacheSource>
  <cacheFields count="3">
    <cacheField name="Member">
      <sharedItems containsMixedTypes="0" count="30">
        <s v="ACHANGE"/>
        <s v="CCEDA"/>
        <s v="EBHO"/>
        <s v="SCANPH"/>
        <s v="CHC"/>
        <s v="CNHED"/>
        <s v="HAND"/>
        <s v="DHC"/>
        <s v="FLACDC"/>
        <s v="SFCDC"/>
        <s v="GSTAND"/>
        <s v="CRN"/>
        <s v="HAI"/>
        <s v="IACED"/>
        <s v="MACDC"/>
        <s v="CDAD"/>
        <s v="CEDAM"/>
        <s v="MCCD"/>
        <s v="CBN"/>
        <s v="HCDNNJ"/>
        <s v="NPCNY"/>
        <s v="NACDC"/>
        <s v="OCDCA"/>
        <s v="OON"/>
        <s v="HAP"/>
        <s v="PACDC"/>
        <s v="HNRI"/>
        <s v="SCACDC"/>
        <s v="CD Council"/>
        <s v="TACDC"/>
      </sharedItems>
    </cacheField>
    <cacheField name="Data">
      <sharedItems containsSemiMixedTypes="0" containsString="0" containsMixedTypes="0" containsNumber="1" containsInteger="1"/>
    </cacheField>
    <cacheField name="Type">
      <sharedItems containsMixedTypes="0" count="2">
        <s v="Place Based"/>
        <s v="Constituency Based"/>
      </sharedItems>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F3:H63" sheet="Membership Data 2014"/>
  </cacheSource>
  <cacheFields count="3">
    <cacheField name="Member">
      <sharedItems containsMixedTypes="0" count="31">
        <s v="ACHANGE"/>
        <s v="CCEDA"/>
        <s v="EBHO"/>
        <s v="SCANPH"/>
        <s v="CHC"/>
        <s v="CNHED"/>
        <s v="HAND"/>
        <s v="DHC"/>
        <s v="FLACDC"/>
        <s v="SFCDC"/>
        <s v="GSTAND"/>
        <s v="CRN"/>
        <s v="HAI"/>
        <s v="IACED"/>
        <s v="MACDC"/>
        <s v="CDAD"/>
        <s v="CEDAM"/>
        <s v="MCCD"/>
        <s v="CBN"/>
        <s v="HCDNNJ"/>
        <s v="NPCNY"/>
        <s v="NACDC"/>
        <s v="OCDCA"/>
        <s v="OON"/>
        <s v="HAP"/>
        <s v="PACDC"/>
        <s v="HNRI"/>
        <s v="SCACDC"/>
        <s v="CD Council"/>
        <s v="TACDC"/>
        <s v="LHA"/>
      </sharedItems>
    </cacheField>
    <cacheField name="Data">
      <sharedItems containsSemiMixedTypes="0" containsString="0" containsMixedTypes="0" containsNumber="1" containsInteger="1"/>
    </cacheField>
    <cacheField name="Type">
      <sharedItems containsMixedTypes="0" count="2">
        <s v="Nonprofit"/>
        <s v="For Profit"/>
      </sharedItems>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worksheetSource ref="A3:C63" sheet="Membership Data 2014"/>
  </cacheSource>
  <cacheFields count="3">
    <cacheField name="Member">
      <sharedItems containsMixedTypes="0" count="31">
        <s v="ACHANGE"/>
        <s v="CCEDA"/>
        <s v="EBHO"/>
        <s v="SCANPH"/>
        <s v="CHC"/>
        <s v="CNHED"/>
        <s v="HAND"/>
        <s v="DHC"/>
        <s v="FLACDC"/>
        <s v="SFCDC"/>
        <s v="GSTAND"/>
        <s v="CRN"/>
        <s v="HAI"/>
        <s v="IACED"/>
        <s v="MACDC"/>
        <s v="CDAD"/>
        <s v="CEDAM"/>
        <s v="MCCD"/>
        <s v="CBN"/>
        <s v="HCDNNJ"/>
        <s v="NPCNY"/>
        <s v="NACDC"/>
        <s v="OCDCA"/>
        <s v="OON"/>
        <s v="HAP"/>
        <s v="PACDC"/>
        <s v="HNRI"/>
        <s v="SCACDC"/>
        <s v="CD Council"/>
        <s v="TACDC"/>
        <s v="LHA"/>
      </sharedItems>
    </cacheField>
    <cacheField name="Data">
      <sharedItems containsSemiMixedTypes="0" containsString="0" containsMixedTypes="0" containsNumber="1" containsInteger="1"/>
    </cacheField>
    <cacheField name="Type">
      <sharedItems containsMixedTypes="0" count="2">
        <s v="Individuals"/>
        <s v="Organization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B10:I42" firstHeaderRow="1" firstDataRow="2" firstDataCol="1"/>
  <pivotFields count="3">
    <pivotField axis="axisRow" compact="0" outline="0" subtotalTop="0" showAll="0">
      <items count="32">
        <item x="0"/>
        <item x="18"/>
        <item x="1"/>
        <item x="28"/>
        <item x="15"/>
        <item x="16"/>
        <item x="4"/>
        <item x="5"/>
        <item x="11"/>
        <item x="7"/>
        <item x="2"/>
        <item x="8"/>
        <item x="10"/>
        <item x="12"/>
        <item x="6"/>
        <item x="24"/>
        <item x="19"/>
        <item x="26"/>
        <item x="13"/>
        <item m="1" x="30"/>
        <item x="14"/>
        <item x="17"/>
        <item x="21"/>
        <item x="20"/>
        <item x="22"/>
        <item x="23"/>
        <item x="25"/>
        <item x="27"/>
        <item x="3"/>
        <item x="9"/>
        <item x="29"/>
        <item t="default"/>
      </items>
    </pivotField>
    <pivotField dataField="1" compact="0" outline="0" subtotalTop="0" showAll="0" numFmtId="165"/>
    <pivotField axis="axisCol" compact="0" outline="0" subtotalTop="0" showAll="0">
      <items count="7">
        <item x="3"/>
        <item x="5"/>
        <item x="2"/>
        <item x="4"/>
        <item x="1"/>
        <item x="0"/>
        <item t="default"/>
      </items>
    </pivotField>
  </pivotFields>
  <rowFields count="1">
    <field x="0"/>
  </rowFields>
  <rowItems count="31">
    <i>
      <x/>
    </i>
    <i>
      <x v="1"/>
    </i>
    <i>
      <x v="2"/>
    </i>
    <i>
      <x v="3"/>
    </i>
    <i>
      <x v="4"/>
    </i>
    <i>
      <x v="5"/>
    </i>
    <i>
      <x v="6"/>
    </i>
    <i>
      <x v="7"/>
    </i>
    <i>
      <x v="8"/>
    </i>
    <i>
      <x v="9"/>
    </i>
    <i>
      <x v="10"/>
    </i>
    <i>
      <x v="11"/>
    </i>
    <i>
      <x v="12"/>
    </i>
    <i>
      <x v="13"/>
    </i>
    <i>
      <x v="14"/>
    </i>
    <i>
      <x v="15"/>
    </i>
    <i>
      <x v="16"/>
    </i>
    <i>
      <x v="17"/>
    </i>
    <i>
      <x v="18"/>
    </i>
    <i>
      <x v="20"/>
    </i>
    <i>
      <x v="21"/>
    </i>
    <i>
      <x v="22"/>
    </i>
    <i>
      <x v="23"/>
    </i>
    <i>
      <x v="24"/>
    </i>
    <i>
      <x v="25"/>
    </i>
    <i>
      <x v="26"/>
    </i>
    <i>
      <x v="27"/>
    </i>
    <i>
      <x v="28"/>
    </i>
    <i>
      <x v="29"/>
    </i>
    <i>
      <x v="30"/>
    </i>
    <i t="grand">
      <x/>
    </i>
  </rowItems>
  <colFields count="1">
    <field x="2"/>
  </colFields>
  <colItems count="7">
    <i>
      <x/>
    </i>
    <i>
      <x v="1"/>
    </i>
    <i>
      <x v="2"/>
    </i>
    <i>
      <x v="3"/>
    </i>
    <i>
      <x v="4"/>
    </i>
    <i>
      <x v="5"/>
    </i>
    <i t="grand">
      <x/>
    </i>
  </colItems>
  <dataFields count="1">
    <dataField name="Sum of Data" fld="1" baseField="0" baseItem="0" numFmtId="165"/>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5"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B46:I78" firstHeaderRow="1" firstDataRow="2" firstDataCol="1"/>
  <pivotFields count="3">
    <pivotField axis="axisRow" compact="0" outline="0" subtotalTop="0" showAll="0">
      <items count="32">
        <item x="0"/>
        <item x="18"/>
        <item x="1"/>
        <item x="28"/>
        <item x="15"/>
        <item x="16"/>
        <item x="4"/>
        <item x="5"/>
        <item x="11"/>
        <item x="7"/>
        <item x="2"/>
        <item x="8"/>
        <item x="10"/>
        <item x="12"/>
        <item x="6"/>
        <item x="24"/>
        <item x="19"/>
        <item x="26"/>
        <item x="13"/>
        <item m="1" x="30"/>
        <item x="14"/>
        <item x="17"/>
        <item x="21"/>
        <item x="20"/>
        <item x="22"/>
        <item x="23"/>
        <item x="25"/>
        <item x="27"/>
        <item x="3"/>
        <item x="9"/>
        <item x="29"/>
        <item t="default"/>
      </items>
    </pivotField>
    <pivotField dataField="1" compact="0" outline="0" subtotalTop="0" showAll="0" numFmtId="165"/>
    <pivotField axis="axisCol" compact="0" outline="0" subtotalTop="0" showAll="0">
      <items count="7">
        <item x="3"/>
        <item x="5"/>
        <item x="2"/>
        <item x="4"/>
        <item x="1"/>
        <item x="0"/>
        <item t="default"/>
      </items>
    </pivotField>
  </pivotFields>
  <rowFields count="1">
    <field x="0"/>
  </rowFields>
  <rowItems count="31">
    <i>
      <x/>
    </i>
    <i>
      <x v="1"/>
    </i>
    <i>
      <x v="2"/>
    </i>
    <i>
      <x v="3"/>
    </i>
    <i>
      <x v="4"/>
    </i>
    <i>
      <x v="5"/>
    </i>
    <i>
      <x v="6"/>
    </i>
    <i>
      <x v="7"/>
    </i>
    <i>
      <x v="8"/>
    </i>
    <i>
      <x v="9"/>
    </i>
    <i>
      <x v="10"/>
    </i>
    <i>
      <x v="11"/>
    </i>
    <i>
      <x v="12"/>
    </i>
    <i>
      <x v="13"/>
    </i>
    <i>
      <x v="14"/>
    </i>
    <i>
      <x v="15"/>
    </i>
    <i>
      <x v="16"/>
    </i>
    <i>
      <x v="17"/>
    </i>
    <i>
      <x v="18"/>
    </i>
    <i>
      <x v="20"/>
    </i>
    <i>
      <x v="21"/>
    </i>
    <i>
      <x v="22"/>
    </i>
    <i>
      <x v="23"/>
    </i>
    <i>
      <x v="24"/>
    </i>
    <i>
      <x v="25"/>
    </i>
    <i>
      <x v="26"/>
    </i>
    <i>
      <x v="27"/>
    </i>
    <i>
      <x v="28"/>
    </i>
    <i>
      <x v="29"/>
    </i>
    <i>
      <x v="30"/>
    </i>
    <i t="grand">
      <x/>
    </i>
  </rowItems>
  <colFields count="1">
    <field x="2"/>
  </colFields>
  <colItems count="7">
    <i>
      <x/>
    </i>
    <i>
      <x v="1"/>
    </i>
    <i>
      <x v="2"/>
    </i>
    <i>
      <x v="3"/>
    </i>
    <i>
      <x v="4"/>
    </i>
    <i>
      <x v="5"/>
    </i>
    <i t="grand">
      <x/>
    </i>
  </colItems>
  <dataFields count="1">
    <dataField name="Sum of Data" fld="1" showDataAs="percentOfRow" baseField="0" baseItem="0" numFmtId="1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E3:L35" firstHeaderRow="1" firstDataRow="2" firstDataCol="1"/>
  <pivotFields count="3">
    <pivotField axis="axisRow" compact="0" outline="0" subtotalTop="0" showAll="0">
      <items count="32">
        <item x="0"/>
        <item x="18"/>
        <item x="1"/>
        <item x="28"/>
        <item x="15"/>
        <item x="16"/>
        <item x="4"/>
        <item x="5"/>
        <item x="11"/>
        <item x="7"/>
        <item x="2"/>
        <item x="8"/>
        <item x="10"/>
        <item x="12"/>
        <item x="6"/>
        <item x="24"/>
        <item x="19"/>
        <item x="26"/>
        <item x="13"/>
        <item m="1" x="30"/>
        <item x="14"/>
        <item x="17"/>
        <item x="21"/>
        <item x="20"/>
        <item x="22"/>
        <item x="23"/>
        <item x="25"/>
        <item x="27"/>
        <item x="3"/>
        <item x="9"/>
        <item x="29"/>
        <item t="default"/>
      </items>
    </pivotField>
    <pivotField dataField="1" compact="0" outline="0" subtotalTop="0" showAll="0" numFmtId="165"/>
    <pivotField axis="axisCol" compact="0" outline="0" subtotalTop="0" showAll="0">
      <items count="7">
        <item x="3"/>
        <item x="5"/>
        <item x="2"/>
        <item x="4"/>
        <item x="1"/>
        <item x="0"/>
        <item t="default"/>
      </items>
    </pivotField>
  </pivotFields>
  <rowFields count="1">
    <field x="0"/>
  </rowFields>
  <rowItems count="31">
    <i>
      <x/>
    </i>
    <i>
      <x v="1"/>
    </i>
    <i>
      <x v="2"/>
    </i>
    <i>
      <x v="3"/>
    </i>
    <i>
      <x v="4"/>
    </i>
    <i>
      <x v="5"/>
    </i>
    <i>
      <x v="6"/>
    </i>
    <i>
      <x v="7"/>
    </i>
    <i>
      <x v="8"/>
    </i>
    <i>
      <x v="9"/>
    </i>
    <i>
      <x v="10"/>
    </i>
    <i>
      <x v="11"/>
    </i>
    <i>
      <x v="12"/>
    </i>
    <i>
      <x v="13"/>
    </i>
    <i>
      <x v="14"/>
    </i>
    <i>
      <x v="15"/>
    </i>
    <i>
      <x v="16"/>
    </i>
    <i>
      <x v="17"/>
    </i>
    <i>
      <x v="18"/>
    </i>
    <i>
      <x v="20"/>
    </i>
    <i>
      <x v="21"/>
    </i>
    <i>
      <x v="22"/>
    </i>
    <i>
      <x v="23"/>
    </i>
    <i>
      <x v="24"/>
    </i>
    <i>
      <x v="25"/>
    </i>
    <i>
      <x v="26"/>
    </i>
    <i>
      <x v="27"/>
    </i>
    <i>
      <x v="28"/>
    </i>
    <i>
      <x v="29"/>
    </i>
    <i>
      <x v="30"/>
    </i>
    <i t="grand">
      <x/>
    </i>
  </rowItems>
  <colFields count="1">
    <field x="2"/>
  </colFields>
  <colItems count="7">
    <i>
      <x/>
    </i>
    <i>
      <x v="1"/>
    </i>
    <i>
      <x v="2"/>
    </i>
    <i>
      <x v="3"/>
    </i>
    <i>
      <x v="4"/>
    </i>
    <i>
      <x v="5"/>
    </i>
    <i t="grand">
      <x/>
    </i>
  </colItems>
  <dataFields count="1">
    <dataField name="Sum of Data" fld="1" baseField="0" baseItem="0" numFmtId="165"/>
  </dataFields>
  <formats count="5">
    <format dxfId="0">
      <pivotArea outline="0" fieldPosition="0"/>
    </format>
    <format dxfId="1">
      <pivotArea outline="0" fieldPosition="0">
        <references count="1">
          <reference field="2" count="0"/>
        </references>
      </pivotArea>
    </format>
    <format dxfId="1">
      <pivotArea outline="0" fieldPosition="0" axis="axisCol" dataOnly="0" field="2" labelOnly="1" type="button"/>
    </format>
    <format dxfId="1">
      <pivotArea outline="0" fieldPosition="0" dataOnly="0" labelOnly="1" type="topRight"/>
    </format>
    <format dxfId="1">
      <pivotArea outline="0" fieldPosition="0" dataOnly="0" labelOnly="1">
        <references count="1">
          <reference field="2" count="0"/>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4"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E39:L71" firstHeaderRow="1" firstDataRow="2" firstDataCol="1"/>
  <pivotFields count="3">
    <pivotField axis="axisRow" compact="0" outline="0" subtotalTop="0" showAll="0">
      <items count="32">
        <item x="0"/>
        <item x="18"/>
        <item x="1"/>
        <item x="28"/>
        <item x="15"/>
        <item x="16"/>
        <item x="4"/>
        <item x="5"/>
        <item x="11"/>
        <item x="7"/>
        <item x="2"/>
        <item x="8"/>
        <item x="10"/>
        <item x="12"/>
        <item x="6"/>
        <item x="24"/>
        <item x="19"/>
        <item x="26"/>
        <item x="13"/>
        <item m="1" x="30"/>
        <item x="14"/>
        <item x="17"/>
        <item x="21"/>
        <item x="20"/>
        <item x="22"/>
        <item x="23"/>
        <item x="25"/>
        <item x="27"/>
        <item x="3"/>
        <item x="9"/>
        <item x="29"/>
        <item t="default"/>
      </items>
    </pivotField>
    <pivotField dataField="1" compact="0" outline="0" subtotalTop="0" showAll="0" numFmtId="165"/>
    <pivotField axis="axisCol" compact="0" outline="0" subtotalTop="0" showAll="0">
      <items count="7">
        <item x="3"/>
        <item x="5"/>
        <item x="2"/>
        <item x="4"/>
        <item x="1"/>
        <item x="0"/>
        <item t="default"/>
      </items>
    </pivotField>
  </pivotFields>
  <rowFields count="1">
    <field x="0"/>
  </rowFields>
  <rowItems count="31">
    <i>
      <x/>
    </i>
    <i>
      <x v="1"/>
    </i>
    <i>
      <x v="2"/>
    </i>
    <i>
      <x v="3"/>
    </i>
    <i>
      <x v="4"/>
    </i>
    <i>
      <x v="5"/>
    </i>
    <i>
      <x v="6"/>
    </i>
    <i>
      <x v="7"/>
    </i>
    <i>
      <x v="8"/>
    </i>
    <i>
      <x v="9"/>
    </i>
    <i>
      <x v="10"/>
    </i>
    <i>
      <x v="11"/>
    </i>
    <i>
      <x v="12"/>
    </i>
    <i>
      <x v="13"/>
    </i>
    <i>
      <x v="14"/>
    </i>
    <i>
      <x v="15"/>
    </i>
    <i>
      <x v="16"/>
    </i>
    <i>
      <x v="17"/>
    </i>
    <i>
      <x v="18"/>
    </i>
    <i>
      <x v="20"/>
    </i>
    <i>
      <x v="21"/>
    </i>
    <i>
      <x v="22"/>
    </i>
    <i>
      <x v="23"/>
    </i>
    <i>
      <x v="24"/>
    </i>
    <i>
      <x v="25"/>
    </i>
    <i>
      <x v="26"/>
    </i>
    <i>
      <x v="27"/>
    </i>
    <i>
      <x v="28"/>
    </i>
    <i>
      <x v="29"/>
    </i>
    <i>
      <x v="30"/>
    </i>
    <i t="grand">
      <x/>
    </i>
  </rowItems>
  <colFields count="1">
    <field x="2"/>
  </colFields>
  <colItems count="7">
    <i>
      <x/>
    </i>
    <i>
      <x v="1"/>
    </i>
    <i>
      <x v="2"/>
    </i>
    <i>
      <x v="3"/>
    </i>
    <i>
      <x v="4"/>
    </i>
    <i>
      <x v="5"/>
    </i>
    <i t="grand">
      <x/>
    </i>
  </colItems>
  <dataFields count="1">
    <dataField name="Sum of Data" fld="1" showDataAs="percentOfRow" baseField="0" baseItem="0" numFmtId="10"/>
  </dataFields>
  <formats count="6">
    <format dxfId="2">
      <pivotArea outline="0" fieldPosition="0">
        <references count="1">
          <reference field="0" count="0"/>
        </references>
      </pivotArea>
    </format>
    <format dxfId="1">
      <pivotArea outline="0" fieldPosition="0">
        <references count="1">
          <reference field="2" count="0"/>
        </references>
      </pivotArea>
    </format>
    <format dxfId="1">
      <pivotArea outline="0" fieldPosition="0" axis="axisCol" dataOnly="0" field="2" labelOnly="1" type="button"/>
    </format>
    <format dxfId="1">
      <pivotArea outline="0" fieldPosition="0" dataOnly="0" labelOnly="1" type="topRight"/>
    </format>
    <format dxfId="1">
      <pivotArea outline="0" fieldPosition="0" dataOnly="0" labelOnly="1">
        <references count="1">
          <reference field="2" count="0"/>
        </references>
      </pivotArea>
    </format>
    <format dxfId="2">
      <pivotArea outline="0" fieldPosition="0" grandRow="1"/>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33" cacheId="4" applyNumberFormats="0" applyBorderFormats="0" applyFontFormats="0" applyPatternFormats="0" applyAlignmentFormats="0" applyWidthHeightFormats="0" dataCaption="Values" grandTotalCaption="Total" showMissing="1" preserveFormatting="1" useAutoFormatting="1" itemPrintTitles="1" compactData="0" updatedVersion="2" indent="0" showMemberPropertyTips="1">
  <location ref="B58:E90" firstHeaderRow="1" firstDataRow="2" firstDataCol="1"/>
  <pivotFields count="3">
    <pivotField axis="axisRow" compact="0" outline="0" subtotalTop="0" showAll="0">
      <items count="32">
        <item x="0"/>
        <item x="18"/>
        <item x="1"/>
        <item x="28"/>
        <item x="15"/>
        <item x="16"/>
        <item x="4"/>
        <item x="5"/>
        <item x="11"/>
        <item x="7"/>
        <item x="2"/>
        <item x="8"/>
        <item x="10"/>
        <item x="12"/>
        <item x="6"/>
        <item x="24"/>
        <item x="19"/>
        <item x="26"/>
        <item x="13"/>
        <item m="1" x="30"/>
        <item x="14"/>
        <item x="17"/>
        <item x="21"/>
        <item x="20"/>
        <item x="22"/>
        <item x="23"/>
        <item x="25"/>
        <item x="27"/>
        <item x="3"/>
        <item x="9"/>
        <item x="29"/>
        <item t="default"/>
      </items>
    </pivotField>
    <pivotField dataField="1" compact="0" outline="0" subtotalTop="0" showAll="0"/>
    <pivotField axis="axisCol" compact="0" outline="0" subtotalTop="0" showAll="0">
      <items count="3">
        <item x="0"/>
        <item x="1"/>
        <item t="default"/>
      </items>
    </pivotField>
  </pivotFields>
  <rowFields count="1">
    <field x="0"/>
  </rowFields>
  <rowItems count="31">
    <i>
      <x/>
    </i>
    <i>
      <x v="1"/>
    </i>
    <i>
      <x v="2"/>
    </i>
    <i>
      <x v="3"/>
    </i>
    <i>
      <x v="4"/>
    </i>
    <i>
      <x v="5"/>
    </i>
    <i>
      <x v="6"/>
    </i>
    <i>
      <x v="7"/>
    </i>
    <i>
      <x v="8"/>
    </i>
    <i>
      <x v="9"/>
    </i>
    <i>
      <x v="10"/>
    </i>
    <i>
      <x v="11"/>
    </i>
    <i>
      <x v="12"/>
    </i>
    <i>
      <x v="13"/>
    </i>
    <i>
      <x v="14"/>
    </i>
    <i>
      <x v="15"/>
    </i>
    <i>
      <x v="16"/>
    </i>
    <i>
      <x v="17"/>
    </i>
    <i>
      <x v="18"/>
    </i>
    <i>
      <x v="20"/>
    </i>
    <i>
      <x v="21"/>
    </i>
    <i>
      <x v="22"/>
    </i>
    <i>
      <x v="23"/>
    </i>
    <i>
      <x v="24"/>
    </i>
    <i>
      <x v="25"/>
    </i>
    <i>
      <x v="26"/>
    </i>
    <i>
      <x v="27"/>
    </i>
    <i>
      <x v="28"/>
    </i>
    <i>
      <x v="29"/>
    </i>
    <i>
      <x v="30"/>
    </i>
    <i t="grand">
      <x/>
    </i>
  </rowItems>
  <colFields count="1">
    <field x="2"/>
  </colFields>
  <colItems count="3">
    <i>
      <x/>
    </i>
    <i>
      <x v="1"/>
    </i>
    <i t="grand">
      <x/>
    </i>
  </colItems>
  <dataFields count="1">
    <dataField name="Sum of Data" fld="1" baseField="0" baseItem="0"/>
  </dataField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35" cacheId="3" applyNumberFormats="0" applyBorderFormats="0" applyFontFormats="0" applyPatternFormats="0" applyAlignmentFormats="0" applyWidthHeightFormats="0" dataCaption="Values" grandTotalCaption="Total" showMissing="1" preserveFormatting="1" useAutoFormatting="1" itemPrintTitles="1" compactData="0" updatedVersion="2" indent="0" showMemberPropertyTips="1">
  <location ref="B123:E155" firstHeaderRow="1" firstDataRow="2" firstDataCol="1"/>
  <pivotFields count="3">
    <pivotField axis="axisRow" compact="0" outline="0" subtotalTop="0" showAll="0">
      <items count="32">
        <item x="0"/>
        <item x="18"/>
        <item x="1"/>
        <item x="28"/>
        <item x="15"/>
        <item x="16"/>
        <item x="4"/>
        <item x="5"/>
        <item x="11"/>
        <item x="7"/>
        <item x="2"/>
        <item x="8"/>
        <item x="10"/>
        <item x="12"/>
        <item x="6"/>
        <item x="24"/>
        <item x="19"/>
        <item x="26"/>
        <item x="13"/>
        <item m="1" x="30"/>
        <item x="14"/>
        <item x="17"/>
        <item x="21"/>
        <item x="20"/>
        <item x="22"/>
        <item x="23"/>
        <item x="25"/>
        <item x="27"/>
        <item x="3"/>
        <item x="9"/>
        <item x="29"/>
        <item t="default"/>
      </items>
    </pivotField>
    <pivotField dataField="1" compact="0" outline="0" subtotalTop="0" showAll="0"/>
    <pivotField axis="axisCol" compact="0" outline="0" subtotalTop="0" showAll="0">
      <items count="3">
        <item x="1"/>
        <item x="0"/>
        <item t="default"/>
      </items>
    </pivotField>
  </pivotFields>
  <rowFields count="1">
    <field x="0"/>
  </rowFields>
  <rowItems count="31">
    <i>
      <x/>
    </i>
    <i>
      <x v="1"/>
    </i>
    <i>
      <x v="2"/>
    </i>
    <i>
      <x v="3"/>
    </i>
    <i>
      <x v="4"/>
    </i>
    <i>
      <x v="5"/>
    </i>
    <i>
      <x v="6"/>
    </i>
    <i>
      <x v="7"/>
    </i>
    <i>
      <x v="8"/>
    </i>
    <i>
      <x v="9"/>
    </i>
    <i>
      <x v="10"/>
    </i>
    <i>
      <x v="11"/>
    </i>
    <i>
      <x v="12"/>
    </i>
    <i>
      <x v="13"/>
    </i>
    <i>
      <x v="14"/>
    </i>
    <i>
      <x v="15"/>
    </i>
    <i>
      <x v="16"/>
    </i>
    <i>
      <x v="17"/>
    </i>
    <i>
      <x v="18"/>
    </i>
    <i>
      <x v="20"/>
    </i>
    <i>
      <x v="21"/>
    </i>
    <i>
      <x v="22"/>
    </i>
    <i>
      <x v="23"/>
    </i>
    <i>
      <x v="24"/>
    </i>
    <i>
      <x v="25"/>
    </i>
    <i>
      <x v="26"/>
    </i>
    <i>
      <x v="27"/>
    </i>
    <i>
      <x v="28"/>
    </i>
    <i>
      <x v="29"/>
    </i>
    <i>
      <x v="30"/>
    </i>
    <i t="grand">
      <x/>
    </i>
  </rowItems>
  <colFields count="1">
    <field x="2"/>
  </colFields>
  <colItems count="3">
    <i>
      <x/>
    </i>
    <i>
      <x v="1"/>
    </i>
    <i t="grand">
      <x/>
    </i>
  </colItems>
  <dataFields count="1">
    <dataField name="Table" fld="1" baseField="0" baseItem="0"/>
  </dataField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37" cacheId="2" applyNumberFormats="0" applyBorderFormats="0" applyFontFormats="0" applyPatternFormats="0" applyAlignmentFormats="0" applyWidthHeightFormats="0" dataCaption="Values" grandTotalCaption="Total" showMissing="1" preserveFormatting="1" useAutoFormatting="1" itemPrintTitles="1" compactData="0" updatedVersion="2" indent="0" showMemberPropertyTips="1">
  <location ref="B170:E202" firstHeaderRow="1" firstDataRow="2" firstDataCol="1"/>
  <pivotFields count="3">
    <pivotField axis="axisRow" compact="0" outline="0" subtotalTop="0" showAll="0">
      <items count="31">
        <item x="0"/>
        <item x="18"/>
        <item x="1"/>
        <item x="28"/>
        <item x="15"/>
        <item x="16"/>
        <item x="4"/>
        <item x="5"/>
        <item x="11"/>
        <item x="7"/>
        <item x="2"/>
        <item x="8"/>
        <item x="10"/>
        <item x="12"/>
        <item x="6"/>
        <item x="24"/>
        <item x="19"/>
        <item x="26"/>
        <item x="13"/>
        <item x="14"/>
        <item x="17"/>
        <item x="21"/>
        <item x="20"/>
        <item x="22"/>
        <item x="23"/>
        <item x="25"/>
        <item x="27"/>
        <item x="3"/>
        <item x="9"/>
        <item x="29"/>
        <item t="default"/>
      </items>
    </pivotField>
    <pivotField dataField="1" compact="0" outline="0" subtotalTop="0" showAll="0"/>
    <pivotField axis="axisCol" compact="0" outline="0" subtotalTop="0" showAll="0">
      <items count="3">
        <item x="0"/>
        <item x="1"/>
        <item t="default"/>
      </items>
    </pivotField>
  </pivotFields>
  <rowFields count="1">
    <field x="0"/>
  </rowFields>
  <rowItems count="3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t="grand">
      <x/>
    </i>
  </rowItems>
  <colFields count="1">
    <field x="2"/>
  </colFields>
  <colItems count="3">
    <i>
      <x/>
    </i>
    <i>
      <x v="1"/>
    </i>
    <i t="grand">
      <x/>
    </i>
  </colItems>
  <dataFields count="1">
    <dataField name="Table" fld="1" baseField="0" baseItem="0"/>
  </dataField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6" cacheId="4"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66:D98" firstHeaderRow="1" firstDataRow="2" firstDataCol="1"/>
  <pivotFields count="3">
    <pivotField axis="axisRow" compact="0" outline="0" subtotalTop="0" showAll="0">
      <items count="32">
        <item x="0"/>
        <item x="18"/>
        <item x="1"/>
        <item x="28"/>
        <item x="15"/>
        <item x="16"/>
        <item x="4"/>
        <item x="5"/>
        <item x="11"/>
        <item x="7"/>
        <item x="2"/>
        <item x="8"/>
        <item x="10"/>
        <item x="12"/>
        <item x="6"/>
        <item x="24"/>
        <item x="19"/>
        <item x="26"/>
        <item x="13"/>
        <item m="1" x="30"/>
        <item x="14"/>
        <item x="17"/>
        <item x="21"/>
        <item x="20"/>
        <item x="22"/>
        <item x="23"/>
        <item x="25"/>
        <item x="27"/>
        <item x="3"/>
        <item x="9"/>
        <item x="29"/>
        <item t="default"/>
      </items>
    </pivotField>
    <pivotField dataField="1" compact="0" outline="0" subtotalTop="0" showAll="0"/>
    <pivotField axis="axisCol" compact="0" outline="0" subtotalTop="0" showAll="0">
      <items count="3">
        <item x="0"/>
        <item x="1"/>
        <item t="default"/>
      </items>
    </pivotField>
  </pivotFields>
  <rowFields count="1">
    <field x="0"/>
  </rowFields>
  <rowItems count="31">
    <i>
      <x/>
    </i>
    <i>
      <x v="1"/>
    </i>
    <i>
      <x v="2"/>
    </i>
    <i>
      <x v="3"/>
    </i>
    <i>
      <x v="4"/>
    </i>
    <i>
      <x v="5"/>
    </i>
    <i>
      <x v="6"/>
    </i>
    <i>
      <x v="7"/>
    </i>
    <i>
      <x v="8"/>
    </i>
    <i>
      <x v="9"/>
    </i>
    <i>
      <x v="10"/>
    </i>
    <i>
      <x v="11"/>
    </i>
    <i>
      <x v="12"/>
    </i>
    <i>
      <x v="13"/>
    </i>
    <i>
      <x v="14"/>
    </i>
    <i>
      <x v="15"/>
    </i>
    <i>
      <x v="16"/>
    </i>
    <i>
      <x v="17"/>
    </i>
    <i>
      <x v="18"/>
    </i>
    <i>
      <x v="20"/>
    </i>
    <i>
      <x v="21"/>
    </i>
    <i>
      <x v="22"/>
    </i>
    <i>
      <x v="23"/>
    </i>
    <i>
      <x v="24"/>
    </i>
    <i>
      <x v="25"/>
    </i>
    <i>
      <x v="26"/>
    </i>
    <i>
      <x v="27"/>
    </i>
    <i>
      <x v="28"/>
    </i>
    <i>
      <x v="29"/>
    </i>
    <i>
      <x v="30"/>
    </i>
    <i t="grand">
      <x/>
    </i>
  </rowItems>
  <colFields count="1">
    <field x="2"/>
  </colFields>
  <colItems count="3">
    <i>
      <x/>
    </i>
    <i>
      <x v="1"/>
    </i>
    <i t="grand">
      <x/>
    </i>
  </colItems>
  <dataFields count="1">
    <dataField name="Sum of Data" fld="1"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s>
</file>

<file path=xl/worksheets/_rels/sheet11.xml.rels><?xml version="1.0" encoding="utf-8" standalone="yes"?><Relationships xmlns="http://schemas.openxmlformats.org/package/2006/relationships"><Relationship Id="rId1" Type="http://schemas.openxmlformats.org/officeDocument/2006/relationships/hyperlink" Target="http://www.achange.org/" TargetMode="External" /><Relationship Id="rId2" Type="http://schemas.openxmlformats.org/officeDocument/2006/relationships/hyperlink" Target="http://www.ncacdc.org/" TargetMode="External" /><Relationship Id="rId3" Type="http://schemas.openxmlformats.org/officeDocument/2006/relationships/hyperlink" Target="http://www.lahousingalliance.org/" TargetMode="External" /><Relationship Id="rId4" Type="http://schemas.openxmlformats.org/officeDocument/2006/relationships/hyperlink" Target="http://scanph.org/about" TargetMode="External" /><Relationship Id="rId5" Type="http://schemas.openxmlformats.org/officeDocument/2006/relationships/hyperlink" Target="http://www.chicagorehab.org/aboutCRN/index.htm" TargetMode="External" /><Relationship Id="rId6" Type="http://schemas.openxmlformats.org/officeDocument/2006/relationships/hyperlink" Target="http://cceda.com/" TargetMode="External" /><Relationship Id="rId7" Type="http://schemas.openxmlformats.org/officeDocument/2006/relationships/hyperlink" Target="http://www.flacdc.org/" TargetMode="External" /><Relationship Id="rId8" Type="http://schemas.openxmlformats.org/officeDocument/2006/relationships/hyperlink" Target="http://www.npcnyf.org/" TargetMode="External" /><Relationship Id="rId9" Type="http://schemas.openxmlformats.org/officeDocument/2006/relationships/hyperlink" Target="http://www.ct-housing.org/" TargetMode="External" /><Relationship Id="rId10" Type="http://schemas.openxmlformats.org/officeDocument/2006/relationships/hyperlink" Target="http://www.communitydevelopmentsc.org/" TargetMode="External" /><Relationship Id="rId11" Type="http://schemas.openxmlformats.org/officeDocument/2006/relationships/hyperlink" Target="http://www.communitybuildersstl.org/" TargetMode="External" /><Relationship Id="rId12" Type="http://schemas.openxmlformats.org/officeDocument/2006/relationships/hyperlink" Target="http://www.cedam.info/" TargetMode="External" /><Relationship Id="rId13" Type="http://schemas.openxmlformats.org/officeDocument/2006/relationships/hyperlink" Target="http://www.housingactionil.org/" TargetMode="External" /><Relationship Id="rId14" Type="http://schemas.openxmlformats.org/officeDocument/2006/relationships/hyperlink" Target="http://www.pacdc.org/" TargetMode="External" /><Relationship Id="rId15" Type="http://schemas.openxmlformats.org/officeDocument/2006/relationships/hyperlink" Target="http://www.macdc.org/" TargetMode="External" /><Relationship Id="rId16" Type="http://schemas.openxmlformats.org/officeDocument/2006/relationships/hyperlink" Target="http://www.mccdmn.org/" TargetMode="External" /><Relationship Id="rId17" Type="http://schemas.openxmlformats.org/officeDocument/2006/relationships/hyperlink" Target="http://www.tacdc.org/" TargetMode="External" /><Relationship Id="rId18" Type="http://schemas.openxmlformats.org/officeDocument/2006/relationships/hyperlink" Target="http://memphiscommunitydevelopment.com/%20and%20livablememphis.org" TargetMode="External" /><Relationship Id="rId19" Type="http://schemas.openxmlformats.org/officeDocument/2006/relationships/hyperlink" Target="http://www.housingnetworkri.org/" TargetMode="External" /><Relationship Id="rId20" Type="http://schemas.openxmlformats.org/officeDocument/2006/relationships/comments" Target="../comments11.xml" /><Relationship Id="rId21" Type="http://schemas.openxmlformats.org/officeDocument/2006/relationships/vmlDrawing" Target="../drawings/vmlDrawing6.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1.xml" /><Relationship Id="rId3"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3.xml" /><Relationship Id="rId2" Type="http://schemas.openxmlformats.org/officeDocument/2006/relationships/pivotTable" Target="../pivotTables/pivotTable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ivotTable" Target="../pivotTables/pivotTable5.xml" /><Relationship Id="rId5" Type="http://schemas.openxmlformats.org/officeDocument/2006/relationships/pivotTable" Target="../pivotTables/pivotTable6.xml" /><Relationship Id="rId6" Type="http://schemas.openxmlformats.org/officeDocument/2006/relationships/pivotTable" Target="../pivotTables/pivotTable7.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7.xml.rels><?xml version="1.0" encoding="utf-8" standalone="yes"?><Relationships xmlns="http://schemas.openxmlformats.org/package/2006/relationships"><Relationship Id="rId1" Type="http://schemas.openxmlformats.org/officeDocument/2006/relationships/hyperlink" Target="http://www.achange.org/" TargetMode="External" /><Relationship Id="rId2" Type="http://schemas.openxmlformats.org/officeDocument/2006/relationships/hyperlink" Target="http://www.ncacdc.org/" TargetMode="External" /><Relationship Id="rId3" Type="http://schemas.openxmlformats.org/officeDocument/2006/relationships/hyperlink" Target="http://scanph.org/about" TargetMode="External" /><Relationship Id="rId4" Type="http://schemas.openxmlformats.org/officeDocument/2006/relationships/hyperlink" Target="http://www.chicagorehab.org/" TargetMode="External" /><Relationship Id="rId5" Type="http://schemas.openxmlformats.org/officeDocument/2006/relationships/hyperlink" Target="http://cceda.com/" TargetMode="External" /><Relationship Id="rId6" Type="http://schemas.openxmlformats.org/officeDocument/2006/relationships/hyperlink" Target="http://www.flacdc.org/" TargetMode="External" /><Relationship Id="rId7" Type="http://schemas.openxmlformats.org/officeDocument/2006/relationships/hyperlink" Target="http://www.npcnyf.org/" TargetMode="External" /><Relationship Id="rId8" Type="http://schemas.openxmlformats.org/officeDocument/2006/relationships/hyperlink" Target="http://www.ct-housing.org/" TargetMode="External" /><Relationship Id="rId9" Type="http://schemas.openxmlformats.org/officeDocument/2006/relationships/hyperlink" Target="http://www.communitydevelopmentsc.org/" TargetMode="External" /><Relationship Id="rId10" Type="http://schemas.openxmlformats.org/officeDocument/2006/relationships/hyperlink" Target="http://www.communitybuildersstl.org/" TargetMode="External" /><Relationship Id="rId11" Type="http://schemas.openxmlformats.org/officeDocument/2006/relationships/hyperlink" Target="http://www.cedam.info/" TargetMode="External" /><Relationship Id="rId12" Type="http://schemas.openxmlformats.org/officeDocument/2006/relationships/hyperlink" Target="http://www.housingactionil.org/" TargetMode="External" /><Relationship Id="rId13" Type="http://schemas.openxmlformats.org/officeDocument/2006/relationships/hyperlink" Target="http://www.pacdc.org/" TargetMode="External" /><Relationship Id="rId14" Type="http://schemas.openxmlformats.org/officeDocument/2006/relationships/hyperlink" Target="http://www.macdc.org/" TargetMode="External" /><Relationship Id="rId15" Type="http://schemas.openxmlformats.org/officeDocument/2006/relationships/hyperlink" Target="http://www.mccdmn.org/" TargetMode="External" /><Relationship Id="rId16" Type="http://schemas.openxmlformats.org/officeDocument/2006/relationships/hyperlink" Target="http://www.tacdc.org/" TargetMode="External" /><Relationship Id="rId17" Type="http://schemas.openxmlformats.org/officeDocument/2006/relationships/hyperlink" Target="http://memphiscommunitydevelopment.com/%20and%20livablememphis.org" TargetMode="External" /><Relationship Id="rId18" Type="http://schemas.openxmlformats.org/officeDocument/2006/relationships/hyperlink" Target="http://www.housingnetworkri.org/" TargetMode="External" /><Relationship Id="rId19" Type="http://schemas.openxmlformats.org/officeDocument/2006/relationships/hyperlink" Target="http://www.housingalliancepa.org/" TargetMode="External" /><Relationship Id="rId20" Type="http://schemas.openxmlformats.org/officeDocument/2006/relationships/hyperlink" Target="http://www.ohiocdc.org/" TargetMode="External" /><Relationship Id="rId21" Type="http://schemas.openxmlformats.org/officeDocument/2006/relationships/hyperlink" Target="http://www.cdad-online.org/" TargetMode="External" /><Relationship Id="rId22" Type="http://schemas.openxmlformats.org/officeDocument/2006/relationships/hyperlink" Target="http://www.hcdnnj.org/" TargetMode="External" /><Relationship Id="rId23" Type="http://schemas.openxmlformats.org/officeDocument/2006/relationships/hyperlink" Target="http://www.oregonon.org/" TargetMode="External" /><Relationship Id="rId24" Type="http://schemas.openxmlformats.org/officeDocument/2006/relationships/hyperlink" Target="http://www.iaced.org/" TargetMode="External" /><Relationship Id="rId25" Type="http://schemas.openxmlformats.org/officeDocument/2006/relationships/hyperlink" Target="http://www.ebho.org/" TargetMode="External" /><Relationship Id="rId26" Type="http://schemas.openxmlformats.org/officeDocument/2006/relationships/hyperlink" Target="http://www.cnhed.org/" TargetMode="External" /><Relationship Id="rId27" Type="http://schemas.openxmlformats.org/officeDocument/2006/relationships/hyperlink" Target="http://www.handhousing.org/" TargetMode="External" /><Relationship Id="rId28" Type="http://schemas.openxmlformats.org/officeDocument/2006/relationships/hyperlink" Target="http://www.southfloridacdc.org/" TargetMode="External" /><Relationship Id="rId29" Type="http://schemas.openxmlformats.org/officeDocument/2006/relationships/hyperlink" Target="../../../../../../../../../AppData/AppData/Roaming/Microsoft/Excel/housingforall.org" TargetMode="External" /><Relationship Id="rId30"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J50"/>
  <sheetViews>
    <sheetView tabSelected="1" zoomScalePageLayoutView="0" workbookViewId="0" topLeftCell="A1">
      <selection activeCell="F3" sqref="F3"/>
    </sheetView>
  </sheetViews>
  <sheetFormatPr defaultColWidth="8.8515625" defaultRowHeight="12.75"/>
  <cols>
    <col min="1" max="1" width="27.28125" style="9" customWidth="1"/>
    <col min="2" max="2" width="21.7109375" style="9" customWidth="1"/>
    <col min="3" max="3" width="23.140625" style="9" customWidth="1"/>
    <col min="4" max="7" width="8.8515625" style="9" customWidth="1"/>
    <col min="8" max="8" width="10.421875" style="9" bestFit="1" customWidth="1"/>
    <col min="9" max="16384" width="8.8515625" style="9" customWidth="1"/>
  </cols>
  <sheetData>
    <row r="1" ht="168" customHeight="1">
      <c r="A1" s="8"/>
    </row>
    <row r="2" ht="12.75"/>
    <row r="3" spans="1:3" ht="95.25" customHeight="1">
      <c r="A3" s="274" t="s">
        <v>1727</v>
      </c>
      <c r="B3" s="275"/>
      <c r="C3" s="275"/>
    </row>
    <row r="4" spans="1:3" ht="58.5" customHeight="1">
      <c r="A4" s="274" t="s">
        <v>1726</v>
      </c>
      <c r="B4" s="276"/>
      <c r="C4" s="276"/>
    </row>
    <row r="6" ht="12.75">
      <c r="A6" s="273" t="s">
        <v>1725</v>
      </c>
    </row>
    <row r="8" ht="18">
      <c r="A8" s="88" t="s">
        <v>211</v>
      </c>
    </row>
    <row r="9" ht="18">
      <c r="A9" s="88" t="s">
        <v>212</v>
      </c>
    </row>
    <row r="10" ht="18">
      <c r="A10" s="88" t="s">
        <v>213</v>
      </c>
    </row>
    <row r="11" ht="18">
      <c r="A11" s="88" t="s">
        <v>338</v>
      </c>
    </row>
    <row r="12" spans="1:10" ht="18">
      <c r="A12" s="88" t="s">
        <v>339</v>
      </c>
      <c r="J12" s="272"/>
    </row>
    <row r="13" ht="18">
      <c r="A13" s="88" t="s">
        <v>1628</v>
      </c>
    </row>
    <row r="15" s="89" customFormat="1" ht="12.75"/>
    <row r="16" s="89" customFormat="1" ht="12.75">
      <c r="A16" s="90" t="s">
        <v>1627</v>
      </c>
    </row>
    <row r="17" s="89" customFormat="1" ht="12.75"/>
    <row r="18" spans="1:3" s="131" customFormat="1" ht="18" customHeight="1">
      <c r="A18" s="130" t="s">
        <v>324</v>
      </c>
      <c r="B18" s="130" t="s">
        <v>340</v>
      </c>
      <c r="C18" s="130" t="s">
        <v>323</v>
      </c>
    </row>
    <row r="19" spans="1:3" s="89" customFormat="1" ht="18" customHeight="1">
      <c r="A19" s="160" t="s">
        <v>140</v>
      </c>
      <c r="B19" s="90" t="s">
        <v>341</v>
      </c>
      <c r="C19" s="107" t="s">
        <v>380</v>
      </c>
    </row>
    <row r="20" spans="1:3" s="89" customFormat="1" ht="18" customHeight="1">
      <c r="A20" s="160" t="s">
        <v>332</v>
      </c>
      <c r="B20" s="90" t="s">
        <v>554</v>
      </c>
      <c r="C20" s="161" t="s">
        <v>325</v>
      </c>
    </row>
    <row r="21" spans="1:3" s="89" customFormat="1" ht="18" customHeight="1">
      <c r="A21" s="160" t="s">
        <v>332</v>
      </c>
      <c r="B21" s="90" t="s">
        <v>436</v>
      </c>
      <c r="C21" s="107" t="s">
        <v>184</v>
      </c>
    </row>
    <row r="22" spans="1:3" s="89" customFormat="1" ht="18" customHeight="1">
      <c r="A22" s="160" t="s">
        <v>332</v>
      </c>
      <c r="B22" s="90" t="s">
        <v>286</v>
      </c>
      <c r="C22" s="160" t="s">
        <v>182</v>
      </c>
    </row>
    <row r="23" spans="1:3" s="89" customFormat="1" ht="18" customHeight="1">
      <c r="A23" s="160" t="s">
        <v>141</v>
      </c>
      <c r="B23" s="90" t="s">
        <v>445</v>
      </c>
      <c r="C23" s="160" t="s">
        <v>186</v>
      </c>
    </row>
    <row r="24" spans="1:3" s="89" customFormat="1" ht="18" customHeight="1">
      <c r="A24" s="160" t="s">
        <v>146</v>
      </c>
      <c r="B24" s="90" t="s">
        <v>349</v>
      </c>
      <c r="C24" s="161" t="s">
        <v>331</v>
      </c>
    </row>
    <row r="25" spans="1:3" s="89" customFormat="1" ht="18" customHeight="1">
      <c r="A25" s="160" t="s">
        <v>146</v>
      </c>
      <c r="B25" s="90" t="s">
        <v>550</v>
      </c>
      <c r="C25" s="160" t="s">
        <v>357</v>
      </c>
    </row>
    <row r="26" spans="1:3" s="89" customFormat="1" ht="18" customHeight="1">
      <c r="A26" s="160" t="s">
        <v>142</v>
      </c>
      <c r="B26" s="90" t="s">
        <v>343</v>
      </c>
      <c r="C26" s="107" t="s">
        <v>187</v>
      </c>
    </row>
    <row r="27" spans="1:3" s="89" customFormat="1" ht="18" customHeight="1">
      <c r="A27" s="160" t="s">
        <v>143</v>
      </c>
      <c r="B27" s="90" t="s">
        <v>437</v>
      </c>
      <c r="C27" s="107" t="s">
        <v>355</v>
      </c>
    </row>
    <row r="28" spans="1:3" s="89" customFormat="1" ht="18" customHeight="1">
      <c r="A28" s="160" t="s">
        <v>143</v>
      </c>
      <c r="B28" s="90" t="s">
        <v>287</v>
      </c>
      <c r="C28" s="160" t="s">
        <v>991</v>
      </c>
    </row>
    <row r="29" spans="1:3" s="89" customFormat="1" ht="18" customHeight="1">
      <c r="A29" s="160" t="s">
        <v>144</v>
      </c>
      <c r="B29" s="90" t="s">
        <v>438</v>
      </c>
      <c r="C29" s="107" t="s">
        <v>356</v>
      </c>
    </row>
    <row r="30" spans="1:3" s="89" customFormat="1" ht="18" customHeight="1">
      <c r="A30" s="160" t="s">
        <v>153</v>
      </c>
      <c r="B30" s="90" t="s">
        <v>444</v>
      </c>
      <c r="C30" s="161" t="s">
        <v>326</v>
      </c>
    </row>
    <row r="31" spans="1:3" s="89" customFormat="1" ht="18" customHeight="1">
      <c r="A31" s="160" t="s">
        <v>153</v>
      </c>
      <c r="B31" s="90" t="s">
        <v>446</v>
      </c>
      <c r="C31" s="160" t="s">
        <v>177</v>
      </c>
    </row>
    <row r="32" spans="1:3" s="89" customFormat="1" ht="18" customHeight="1">
      <c r="A32" s="160" t="s">
        <v>139</v>
      </c>
      <c r="B32" s="90" t="s">
        <v>551</v>
      </c>
      <c r="C32" s="107" t="s">
        <v>276</v>
      </c>
    </row>
    <row r="33" spans="1:3" s="89" customFormat="1" ht="18" customHeight="1">
      <c r="A33" s="160" t="s">
        <v>148</v>
      </c>
      <c r="B33" s="90" t="s">
        <v>552</v>
      </c>
      <c r="C33" s="107" t="s">
        <v>280</v>
      </c>
    </row>
    <row r="34" spans="1:3" s="89" customFormat="1" ht="18" customHeight="1">
      <c r="A34" s="160" t="s">
        <v>154</v>
      </c>
      <c r="B34" s="90" t="s">
        <v>352</v>
      </c>
      <c r="C34" s="161" t="s">
        <v>328</v>
      </c>
    </row>
    <row r="35" spans="1:3" s="89" customFormat="1" ht="18" customHeight="1">
      <c r="A35" s="160" t="s">
        <v>154</v>
      </c>
      <c r="B35" s="90" t="s">
        <v>342</v>
      </c>
      <c r="C35" s="160" t="s">
        <v>354</v>
      </c>
    </row>
    <row r="36" spans="1:3" s="89" customFormat="1" ht="18" customHeight="1">
      <c r="A36" s="160" t="s">
        <v>336</v>
      </c>
      <c r="B36" s="90" t="s">
        <v>281</v>
      </c>
      <c r="C36" s="107" t="s">
        <v>168</v>
      </c>
    </row>
    <row r="37" spans="1:3" s="89" customFormat="1" ht="18" customHeight="1">
      <c r="A37" s="160" t="s">
        <v>334</v>
      </c>
      <c r="B37" s="90" t="s">
        <v>350</v>
      </c>
      <c r="C37" s="161" t="s">
        <v>327</v>
      </c>
    </row>
    <row r="38" spans="1:3" s="89" customFormat="1" ht="18" customHeight="1">
      <c r="A38" s="160" t="s">
        <v>145</v>
      </c>
      <c r="B38" s="90" t="s">
        <v>439</v>
      </c>
      <c r="C38" s="107" t="s">
        <v>160</v>
      </c>
    </row>
    <row r="39" spans="1:3" s="89" customFormat="1" ht="18" customHeight="1">
      <c r="A39" s="160" t="s">
        <v>335</v>
      </c>
      <c r="B39" s="90" t="s">
        <v>283</v>
      </c>
      <c r="C39" s="161" t="s">
        <v>330</v>
      </c>
    </row>
    <row r="40" spans="1:3" s="89" customFormat="1" ht="18" customHeight="1">
      <c r="A40" s="160" t="s">
        <v>152</v>
      </c>
      <c r="B40" s="90" t="s">
        <v>291</v>
      </c>
      <c r="C40" s="107" t="s">
        <v>284</v>
      </c>
    </row>
    <row r="41" spans="1:3" s="89" customFormat="1" ht="18" customHeight="1">
      <c r="A41" s="160" t="s">
        <v>149</v>
      </c>
      <c r="B41" s="90" t="s">
        <v>277</v>
      </c>
      <c r="C41" s="160" t="s">
        <v>188</v>
      </c>
    </row>
    <row r="42" spans="1:3" s="89" customFormat="1" ht="18" customHeight="1">
      <c r="A42" s="160" t="s">
        <v>150</v>
      </c>
      <c r="B42" s="90" t="s">
        <v>278</v>
      </c>
      <c r="C42" s="160" t="s">
        <v>173</v>
      </c>
    </row>
    <row r="43" spans="1:3" s="89" customFormat="1" ht="18" customHeight="1">
      <c r="A43" s="160" t="s">
        <v>155</v>
      </c>
      <c r="B43" s="90" t="s">
        <v>351</v>
      </c>
      <c r="C43" s="160" t="s">
        <v>310</v>
      </c>
    </row>
    <row r="44" spans="1:3" s="89" customFormat="1" ht="18" customHeight="1">
      <c r="A44" s="160" t="s">
        <v>155</v>
      </c>
      <c r="B44" s="90" t="s">
        <v>279</v>
      </c>
      <c r="C44" s="160" t="s">
        <v>285</v>
      </c>
    </row>
    <row r="45" spans="1:3" s="89" customFormat="1" ht="18" customHeight="1">
      <c r="A45" s="160" t="s">
        <v>147</v>
      </c>
      <c r="B45" s="90" t="s">
        <v>353</v>
      </c>
      <c r="C45" s="160" t="s">
        <v>311</v>
      </c>
    </row>
    <row r="46" spans="1:3" s="89" customFormat="1" ht="18" customHeight="1">
      <c r="A46" s="160" t="s">
        <v>151</v>
      </c>
      <c r="B46" s="90" t="s">
        <v>282</v>
      </c>
      <c r="C46" s="107" t="s">
        <v>289</v>
      </c>
    </row>
    <row r="47" spans="1:3" s="89" customFormat="1" ht="18" customHeight="1">
      <c r="A47" s="160" t="s">
        <v>337</v>
      </c>
      <c r="B47" s="90" t="s">
        <v>553</v>
      </c>
      <c r="C47" s="160" t="s">
        <v>379</v>
      </c>
    </row>
    <row r="48" spans="1:3" s="89" customFormat="1" ht="18" customHeight="1">
      <c r="A48" s="160" t="s">
        <v>156</v>
      </c>
      <c r="B48" s="90" t="s">
        <v>288</v>
      </c>
      <c r="C48" s="107" t="s">
        <v>290</v>
      </c>
    </row>
    <row r="50" ht="12.75">
      <c r="A50" s="11"/>
    </row>
  </sheetData>
  <sheetProtection/>
  <mergeCells count="2">
    <mergeCell ref="A3:C3"/>
    <mergeCell ref="A4:C4"/>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R88"/>
  <sheetViews>
    <sheetView zoomScalePageLayoutView="0" workbookViewId="0" topLeftCell="A1">
      <selection activeCell="A1" sqref="A1"/>
    </sheetView>
  </sheetViews>
  <sheetFormatPr defaultColWidth="8.8515625" defaultRowHeight="12.75"/>
  <cols>
    <col min="1" max="1" width="24.140625" style="13" customWidth="1"/>
    <col min="2" max="3" width="9.140625" style="13" customWidth="1"/>
    <col min="4" max="4" width="15.7109375" style="13" customWidth="1"/>
    <col min="5" max="5" width="15.421875" style="13" customWidth="1"/>
    <col min="6" max="6" width="8.00390625" style="13" customWidth="1"/>
    <col min="7" max="8" width="19.00390625" style="13" customWidth="1"/>
    <col min="9" max="9" width="9.00390625" style="13" customWidth="1"/>
    <col min="10" max="11" width="19.00390625" style="13" customWidth="1"/>
    <col min="12" max="12" width="7.421875" style="13" customWidth="1"/>
    <col min="13" max="13" width="19.00390625" style="13" customWidth="1"/>
    <col min="14" max="17" width="19.00390625" style="13" bestFit="1" customWidth="1"/>
    <col min="18" max="18" width="13.00390625" style="13" customWidth="1"/>
    <col min="19" max="254" width="8.8515625" style="13" customWidth="1"/>
    <col min="255" max="255" width="24.140625" style="13" customWidth="1"/>
    <col min="256" max="16384" width="8.8515625" style="13" customWidth="1"/>
  </cols>
  <sheetData>
    <row r="1" spans="2:18" ht="12.75">
      <c r="B1" s="65"/>
      <c r="C1" s="65"/>
      <c r="D1" s="65"/>
      <c r="E1" s="65"/>
      <c r="F1" s="65"/>
      <c r="G1" s="65"/>
      <c r="H1" s="65"/>
      <c r="I1" s="65"/>
      <c r="J1" s="65"/>
      <c r="K1" s="65"/>
      <c r="L1" s="65"/>
      <c r="M1" s="65"/>
      <c r="R1" s="65"/>
    </row>
    <row r="2" spans="1:18" ht="12.75">
      <c r="A2" s="18" t="s">
        <v>1496</v>
      </c>
      <c r="B2" s="65"/>
      <c r="C2" s="65"/>
      <c r="D2" s="18" t="s">
        <v>1491</v>
      </c>
      <c r="E2" s="65"/>
      <c r="F2" s="65"/>
      <c r="G2" s="18" t="s">
        <v>1490</v>
      </c>
      <c r="H2" s="65"/>
      <c r="J2" s="18" t="s">
        <v>1489</v>
      </c>
      <c r="K2" s="65"/>
      <c r="L2" s="65"/>
      <c r="M2" s="69" t="s">
        <v>1507</v>
      </c>
      <c r="R2" s="65"/>
    </row>
    <row r="3" spans="1:18" ht="12.75">
      <c r="A3" s="46" t="s">
        <v>1445</v>
      </c>
      <c r="B3" s="65" t="s">
        <v>1488</v>
      </c>
      <c r="C3" s="65"/>
      <c r="D3" s="46" t="s">
        <v>1445</v>
      </c>
      <c r="E3" s="65" t="s">
        <v>1488</v>
      </c>
      <c r="F3" s="65"/>
      <c r="G3" s="46" t="s">
        <v>1445</v>
      </c>
      <c r="H3" s="65" t="s">
        <v>1488</v>
      </c>
      <c r="J3" s="46" t="s">
        <v>1445</v>
      </c>
      <c r="K3" s="65" t="s">
        <v>1488</v>
      </c>
      <c r="M3" s="46" t="s">
        <v>1445</v>
      </c>
      <c r="N3" s="65" t="s">
        <v>1488</v>
      </c>
      <c r="R3" s="65"/>
    </row>
    <row r="4" spans="1:18" ht="12.75">
      <c r="A4" s="65">
        <v>40</v>
      </c>
      <c r="B4" s="65">
        <v>65500</v>
      </c>
      <c r="D4" s="65">
        <v>25</v>
      </c>
      <c r="E4" s="65">
        <v>47000</v>
      </c>
      <c r="F4"/>
      <c r="G4" s="65">
        <v>15</v>
      </c>
      <c r="H4" s="65">
        <v>67500</v>
      </c>
      <c r="J4" s="65">
        <v>30</v>
      </c>
      <c r="K4" s="65">
        <v>120000</v>
      </c>
      <c r="M4" s="65">
        <v>40</v>
      </c>
      <c r="N4" s="65">
        <v>65500</v>
      </c>
      <c r="O4" s="66"/>
      <c r="R4" s="65"/>
    </row>
    <row r="5" spans="1:15" ht="12.75">
      <c r="A5" s="65">
        <v>35</v>
      </c>
      <c r="B5" s="65">
        <v>85000</v>
      </c>
      <c r="D5" s="65">
        <v>20</v>
      </c>
      <c r="E5" s="65">
        <v>66500</v>
      </c>
      <c r="G5" s="65">
        <v>11</v>
      </c>
      <c r="H5" s="65">
        <v>80000</v>
      </c>
      <c r="J5" s="65">
        <v>20</v>
      </c>
      <c r="K5" s="65">
        <v>68000</v>
      </c>
      <c r="M5" s="65">
        <v>35</v>
      </c>
      <c r="N5" s="65">
        <v>85000</v>
      </c>
      <c r="O5" s="66"/>
    </row>
    <row r="6" spans="1:18" ht="12.75">
      <c r="A6" s="65">
        <v>30</v>
      </c>
      <c r="B6" s="65">
        <v>72000</v>
      </c>
      <c r="D6" s="65">
        <v>20</v>
      </c>
      <c r="E6" s="65">
        <v>55000</v>
      </c>
      <c r="F6"/>
      <c r="G6" s="65">
        <v>5</v>
      </c>
      <c r="H6" s="65">
        <v>32000</v>
      </c>
      <c r="J6" s="65">
        <v>20</v>
      </c>
      <c r="K6" s="65">
        <v>56000</v>
      </c>
      <c r="M6" s="65">
        <v>30</v>
      </c>
      <c r="N6" s="65">
        <v>72000</v>
      </c>
      <c r="O6"/>
      <c r="P6"/>
      <c r="Q6"/>
      <c r="R6"/>
    </row>
    <row r="7" spans="1:18" ht="12.75">
      <c r="A7" s="65">
        <v>30</v>
      </c>
      <c r="B7" s="65">
        <v>75000</v>
      </c>
      <c r="D7" s="65">
        <v>18</v>
      </c>
      <c r="E7" s="65">
        <v>82000</v>
      </c>
      <c r="F7" s="68"/>
      <c r="G7" s="65">
        <v>15</v>
      </c>
      <c r="H7" s="65">
        <v>65000</v>
      </c>
      <c r="J7" s="65">
        <v>30</v>
      </c>
      <c r="K7" s="65">
        <v>120000</v>
      </c>
      <c r="M7" s="65">
        <v>30</v>
      </c>
      <c r="N7" s="65">
        <v>75000</v>
      </c>
      <c r="O7"/>
      <c r="P7"/>
      <c r="Q7"/>
      <c r="R7"/>
    </row>
    <row r="8" spans="1:15" ht="12.75">
      <c r="A8" s="65">
        <v>30</v>
      </c>
      <c r="B8" s="65">
        <v>75000</v>
      </c>
      <c r="D8" s="65">
        <v>18</v>
      </c>
      <c r="E8" s="65">
        <v>60000</v>
      </c>
      <c r="F8" s="68"/>
      <c r="G8" s="65">
        <v>4</v>
      </c>
      <c r="H8" s="65">
        <v>25000</v>
      </c>
      <c r="J8" s="65">
        <v>20</v>
      </c>
      <c r="K8" s="65">
        <v>70000</v>
      </c>
      <c r="M8" s="65">
        <v>30</v>
      </c>
      <c r="N8" s="65">
        <v>75000</v>
      </c>
      <c r="O8" s="66"/>
    </row>
    <row r="9" spans="1:15" ht="12.75">
      <c r="A9" s="65">
        <v>30</v>
      </c>
      <c r="B9" s="65">
        <v>75000</v>
      </c>
      <c r="D9" s="65">
        <v>17</v>
      </c>
      <c r="E9" s="65">
        <v>65000</v>
      </c>
      <c r="F9" s="68"/>
      <c r="G9" s="65">
        <v>5</v>
      </c>
      <c r="H9" s="65">
        <v>45000</v>
      </c>
      <c r="J9" s="65">
        <v>20</v>
      </c>
      <c r="K9" s="65">
        <v>55000</v>
      </c>
      <c r="M9" s="65">
        <v>30</v>
      </c>
      <c r="N9" s="65">
        <v>75000</v>
      </c>
      <c r="O9" s="66"/>
    </row>
    <row r="10" spans="1:15" ht="12.75">
      <c r="A10" s="65">
        <v>25</v>
      </c>
      <c r="B10" s="65">
        <v>57000</v>
      </c>
      <c r="D10" s="65">
        <v>17</v>
      </c>
      <c r="E10" s="65">
        <v>80000</v>
      </c>
      <c r="F10" s="68"/>
      <c r="G10" s="65">
        <v>9</v>
      </c>
      <c r="H10" s="65">
        <v>66000</v>
      </c>
      <c r="J10" s="65">
        <v>8</v>
      </c>
      <c r="K10" s="65">
        <v>70000</v>
      </c>
      <c r="M10" s="65">
        <v>25</v>
      </c>
      <c r="N10" s="65">
        <v>57000</v>
      </c>
      <c r="O10" s="66"/>
    </row>
    <row r="11" spans="1:15" ht="12.75">
      <c r="A11" s="65">
        <v>20</v>
      </c>
      <c r="B11" s="65">
        <v>83000</v>
      </c>
      <c r="D11" s="65">
        <v>15</v>
      </c>
      <c r="E11" s="65">
        <v>50000</v>
      </c>
      <c r="F11" s="68"/>
      <c r="G11" s="65">
        <v>3</v>
      </c>
      <c r="H11" s="65">
        <v>32000</v>
      </c>
      <c r="J11" s="65">
        <v>20</v>
      </c>
      <c r="K11" s="65">
        <v>68000</v>
      </c>
      <c r="M11" s="65">
        <v>20</v>
      </c>
      <c r="N11" s="65">
        <v>83000</v>
      </c>
      <c r="O11" s="66"/>
    </row>
    <row r="12" spans="1:15" ht="12.75">
      <c r="A12" s="65">
        <v>20</v>
      </c>
      <c r="B12" s="65">
        <v>65000</v>
      </c>
      <c r="D12" s="13">
        <v>15</v>
      </c>
      <c r="E12" s="13">
        <v>78500</v>
      </c>
      <c r="F12" s="68"/>
      <c r="G12" s="65">
        <v>0</v>
      </c>
      <c r="H12" s="65">
        <v>28000</v>
      </c>
      <c r="J12" s="65">
        <v>10</v>
      </c>
      <c r="K12" s="65">
        <v>45000</v>
      </c>
      <c r="M12" s="65">
        <v>20</v>
      </c>
      <c r="N12" s="65">
        <v>65000</v>
      </c>
      <c r="O12" s="66"/>
    </row>
    <row r="13" spans="1:14" ht="12.75">
      <c r="A13" s="65">
        <v>20</v>
      </c>
      <c r="B13" s="65">
        <v>68000</v>
      </c>
      <c r="D13" s="65">
        <v>12</v>
      </c>
      <c r="E13" s="65">
        <v>75000</v>
      </c>
      <c r="F13" s="68"/>
      <c r="G13" s="65">
        <v>7</v>
      </c>
      <c r="H13" s="65">
        <v>66000</v>
      </c>
      <c r="J13" s="65">
        <v>5</v>
      </c>
      <c r="K13" s="65">
        <v>50000</v>
      </c>
      <c r="M13" s="65">
        <v>20</v>
      </c>
      <c r="N13" s="65">
        <v>68000</v>
      </c>
    </row>
    <row r="14" spans="1:14" ht="12.75">
      <c r="A14" s="65">
        <v>20</v>
      </c>
      <c r="B14" s="65">
        <v>60000</v>
      </c>
      <c r="D14" s="65">
        <v>10</v>
      </c>
      <c r="E14" s="65">
        <v>48500</v>
      </c>
      <c r="F14" s="68"/>
      <c r="G14" s="65">
        <v>4</v>
      </c>
      <c r="H14" s="65">
        <v>31000</v>
      </c>
      <c r="J14" s="65">
        <v>5</v>
      </c>
      <c r="K14" s="65">
        <v>35000</v>
      </c>
      <c r="M14" s="65">
        <v>20</v>
      </c>
      <c r="N14" s="65">
        <v>60000</v>
      </c>
    </row>
    <row r="15" spans="1:14" ht="12.75">
      <c r="A15" s="65">
        <v>20</v>
      </c>
      <c r="B15" s="65">
        <v>52000</v>
      </c>
      <c r="D15" s="65">
        <v>10</v>
      </c>
      <c r="E15" s="65">
        <v>42000</v>
      </c>
      <c r="F15" s="68"/>
      <c r="G15" s="65">
        <v>10</v>
      </c>
      <c r="H15" s="65">
        <v>28000</v>
      </c>
      <c r="J15" s="65">
        <v>10</v>
      </c>
      <c r="K15" s="65">
        <v>50000</v>
      </c>
      <c r="M15" s="65">
        <v>20</v>
      </c>
      <c r="N15" s="65">
        <v>52000</v>
      </c>
    </row>
    <row r="16" spans="1:14" ht="12.75">
      <c r="A16" s="65">
        <v>15</v>
      </c>
      <c r="B16" s="65">
        <v>45000</v>
      </c>
      <c r="D16" s="65">
        <v>10</v>
      </c>
      <c r="E16" s="65">
        <v>46000</v>
      </c>
      <c r="F16"/>
      <c r="G16" s="65">
        <v>15</v>
      </c>
      <c r="H16" s="65">
        <v>48000</v>
      </c>
      <c r="M16" s="65">
        <v>15</v>
      </c>
      <c r="N16" s="65">
        <v>45000</v>
      </c>
    </row>
    <row r="17" spans="1:14" ht="12.75">
      <c r="A17" s="65">
        <v>15</v>
      </c>
      <c r="B17" s="65">
        <v>60500</v>
      </c>
      <c r="D17" s="65">
        <v>10</v>
      </c>
      <c r="E17" s="65">
        <v>33000</v>
      </c>
      <c r="F17"/>
      <c r="G17" s="65">
        <v>10</v>
      </c>
      <c r="H17" s="65">
        <v>43000</v>
      </c>
      <c r="M17" s="65">
        <v>15</v>
      </c>
      <c r="N17" s="65">
        <v>60500</v>
      </c>
    </row>
    <row r="18" spans="1:14" ht="12.75">
      <c r="A18" s="65">
        <v>15</v>
      </c>
      <c r="B18" s="65">
        <v>75000</v>
      </c>
      <c r="D18" s="65">
        <v>7</v>
      </c>
      <c r="E18" s="65">
        <v>46000</v>
      </c>
      <c r="F18"/>
      <c r="M18" s="65">
        <v>15</v>
      </c>
      <c r="N18" s="65">
        <v>75000</v>
      </c>
    </row>
    <row r="19" spans="1:14" ht="12.75">
      <c r="A19" s="65">
        <v>14</v>
      </c>
      <c r="B19" s="65">
        <v>45000</v>
      </c>
      <c r="D19" s="65">
        <v>7</v>
      </c>
      <c r="E19" s="65">
        <v>42000</v>
      </c>
      <c r="F19"/>
      <c r="G19"/>
      <c r="M19" s="65">
        <v>14</v>
      </c>
      <c r="N19" s="65">
        <v>45000</v>
      </c>
    </row>
    <row r="20" spans="1:14" ht="12.75">
      <c r="A20" s="65">
        <v>10</v>
      </c>
      <c r="B20" s="65">
        <v>55000</v>
      </c>
      <c r="D20" s="65">
        <v>7</v>
      </c>
      <c r="E20" s="65">
        <v>50000</v>
      </c>
      <c r="F20"/>
      <c r="G20"/>
      <c r="M20" s="65">
        <v>10</v>
      </c>
      <c r="N20" s="65">
        <v>55000</v>
      </c>
    </row>
    <row r="21" spans="1:14" ht="12.75">
      <c r="A21" s="65">
        <v>8</v>
      </c>
      <c r="B21" s="65">
        <v>62500</v>
      </c>
      <c r="D21" s="65">
        <v>6</v>
      </c>
      <c r="E21" s="65">
        <v>50000</v>
      </c>
      <c r="F21"/>
      <c r="G21"/>
      <c r="M21" s="65">
        <v>8</v>
      </c>
      <c r="N21" s="65">
        <v>62500</v>
      </c>
    </row>
    <row r="22" spans="1:14" ht="12.75">
      <c r="A22" s="65">
        <v>8</v>
      </c>
      <c r="B22" s="65">
        <v>62500</v>
      </c>
      <c r="D22" s="65">
        <v>6</v>
      </c>
      <c r="E22" s="65">
        <v>45000</v>
      </c>
      <c r="F22"/>
      <c r="G22"/>
      <c r="M22" s="65">
        <v>8</v>
      </c>
      <c r="N22" s="65">
        <v>62500</v>
      </c>
    </row>
    <row r="23" spans="1:15" ht="12.75">
      <c r="A23" s="65">
        <v>8</v>
      </c>
      <c r="B23" s="65">
        <v>74000</v>
      </c>
      <c r="D23" s="65">
        <v>6</v>
      </c>
      <c r="E23" s="65">
        <v>47000</v>
      </c>
      <c r="F23"/>
      <c r="G23"/>
      <c r="M23" s="65">
        <v>8</v>
      </c>
      <c r="N23" s="65">
        <v>74000</v>
      </c>
      <c r="O23" s="66"/>
    </row>
    <row r="24" spans="1:14" ht="12.75">
      <c r="A24" s="65">
        <v>8</v>
      </c>
      <c r="B24" s="65">
        <v>37000</v>
      </c>
      <c r="D24" s="13">
        <v>6</v>
      </c>
      <c r="E24" s="66">
        <v>44000</v>
      </c>
      <c r="M24" s="65">
        <v>8</v>
      </c>
      <c r="N24" s="65">
        <v>37000</v>
      </c>
    </row>
    <row r="25" spans="1:14" ht="12.75">
      <c r="A25" s="65">
        <v>6</v>
      </c>
      <c r="B25" s="66">
        <v>37000</v>
      </c>
      <c r="D25" s="65">
        <v>5</v>
      </c>
      <c r="E25" s="65">
        <v>52000</v>
      </c>
      <c r="M25" s="65">
        <v>6</v>
      </c>
      <c r="N25" s="66">
        <v>37000</v>
      </c>
    </row>
    <row r="26" spans="1:14" ht="12.75">
      <c r="A26" s="65">
        <v>5</v>
      </c>
      <c r="B26" s="65">
        <v>30000</v>
      </c>
      <c r="D26" s="65">
        <v>5</v>
      </c>
      <c r="E26" s="65">
        <v>32000</v>
      </c>
      <c r="M26" s="65">
        <v>5</v>
      </c>
      <c r="N26" s="65">
        <v>30000</v>
      </c>
    </row>
    <row r="27" spans="1:14" ht="12.75">
      <c r="A27" s="65">
        <v>5</v>
      </c>
      <c r="B27" s="65">
        <v>60000</v>
      </c>
      <c r="D27" s="65">
        <v>5</v>
      </c>
      <c r="E27" s="65">
        <v>42000</v>
      </c>
      <c r="M27" s="65">
        <v>5</v>
      </c>
      <c r="N27" s="65">
        <v>60000</v>
      </c>
    </row>
    <row r="28" spans="1:14" ht="12.75">
      <c r="A28" s="66">
        <v>3</v>
      </c>
      <c r="B28" s="66">
        <v>33000</v>
      </c>
      <c r="D28" s="65">
        <v>5</v>
      </c>
      <c r="E28" s="65">
        <v>24000</v>
      </c>
      <c r="M28" s="66">
        <v>3</v>
      </c>
      <c r="N28" s="66">
        <v>33000</v>
      </c>
    </row>
    <row r="29" spans="1:14" ht="12.75">
      <c r="A29" s="65">
        <v>2</v>
      </c>
      <c r="B29" s="65">
        <v>55000</v>
      </c>
      <c r="D29" s="65">
        <v>4</v>
      </c>
      <c r="E29" s="65">
        <v>34000</v>
      </c>
      <c r="M29" s="65">
        <v>2</v>
      </c>
      <c r="N29" s="65">
        <v>55000</v>
      </c>
    </row>
    <row r="30" spans="1:14" ht="12.75">
      <c r="A30" s="66">
        <v>1</v>
      </c>
      <c r="B30" s="66">
        <v>32000</v>
      </c>
      <c r="D30" s="65">
        <v>3</v>
      </c>
      <c r="E30" s="65">
        <v>40000</v>
      </c>
      <c r="M30" s="66">
        <v>1</v>
      </c>
      <c r="N30" s="66">
        <v>32000</v>
      </c>
    </row>
    <row r="31" spans="1:14" ht="12.75">
      <c r="A31" s="65">
        <v>1</v>
      </c>
      <c r="B31" s="65">
        <v>40000</v>
      </c>
      <c r="D31" s="65">
        <v>2</v>
      </c>
      <c r="E31" s="65">
        <v>52000</v>
      </c>
      <c r="M31" s="65">
        <v>1</v>
      </c>
      <c r="N31" s="65">
        <v>40000</v>
      </c>
    </row>
    <row r="32" spans="4:14" ht="12.75">
      <c r="D32" s="65">
        <v>2</v>
      </c>
      <c r="E32" s="65">
        <v>37000</v>
      </c>
      <c r="M32" s="65">
        <v>25</v>
      </c>
      <c r="N32" s="65">
        <v>47000</v>
      </c>
    </row>
    <row r="33" spans="4:14" ht="12.75">
      <c r="D33" s="65">
        <v>1</v>
      </c>
      <c r="E33" s="65">
        <v>45000</v>
      </c>
      <c r="M33" s="65">
        <v>20</v>
      </c>
      <c r="N33" s="65">
        <v>66500</v>
      </c>
    </row>
    <row r="34" spans="4:14" ht="12.75">
      <c r="D34" s="65">
        <v>1</v>
      </c>
      <c r="E34" s="65">
        <v>37000</v>
      </c>
      <c r="M34" s="65">
        <v>20</v>
      </c>
      <c r="N34" s="65">
        <v>55000</v>
      </c>
    </row>
    <row r="35" spans="13:14" ht="12.75">
      <c r="M35" s="65">
        <v>18</v>
      </c>
      <c r="N35" s="65">
        <v>82000</v>
      </c>
    </row>
    <row r="36" spans="13:14" ht="12.75">
      <c r="M36" s="65">
        <v>18</v>
      </c>
      <c r="N36" s="65">
        <v>60000</v>
      </c>
    </row>
    <row r="37" spans="13:14" ht="12.75">
      <c r="M37" s="65">
        <v>17</v>
      </c>
      <c r="N37" s="65">
        <v>65000</v>
      </c>
    </row>
    <row r="38" spans="13:14" ht="12.75">
      <c r="M38" s="65">
        <v>17</v>
      </c>
      <c r="N38" s="65">
        <v>80000</v>
      </c>
    </row>
    <row r="39" spans="13:14" ht="12.75">
      <c r="M39" s="65">
        <v>15</v>
      </c>
      <c r="N39" s="65">
        <v>50000</v>
      </c>
    </row>
    <row r="40" spans="13:14" ht="12.75">
      <c r="M40" s="13">
        <v>15</v>
      </c>
      <c r="N40" s="13">
        <v>78500</v>
      </c>
    </row>
    <row r="41" spans="13:14" ht="12.75">
      <c r="M41" s="65">
        <v>12</v>
      </c>
      <c r="N41" s="65">
        <v>75000</v>
      </c>
    </row>
    <row r="42" spans="13:14" ht="12.75">
      <c r="M42" s="65">
        <v>10</v>
      </c>
      <c r="N42" s="65">
        <v>48500</v>
      </c>
    </row>
    <row r="43" spans="13:14" ht="12.75">
      <c r="M43" s="65">
        <v>10</v>
      </c>
      <c r="N43" s="65">
        <v>42000</v>
      </c>
    </row>
    <row r="44" spans="13:14" ht="12.75">
      <c r="M44" s="65">
        <v>10</v>
      </c>
      <c r="N44" s="65">
        <v>46000</v>
      </c>
    </row>
    <row r="45" spans="13:14" ht="12.75">
      <c r="M45" s="65">
        <v>10</v>
      </c>
      <c r="N45" s="65">
        <v>33000</v>
      </c>
    </row>
    <row r="46" spans="13:14" ht="12.75">
      <c r="M46" s="65">
        <v>7</v>
      </c>
      <c r="N46" s="65">
        <v>46000</v>
      </c>
    </row>
    <row r="47" spans="13:14" ht="12.75">
      <c r="M47" s="65">
        <v>7</v>
      </c>
      <c r="N47" s="65">
        <v>42000</v>
      </c>
    </row>
    <row r="48" spans="13:14" ht="12.75">
      <c r="M48" s="65">
        <v>7</v>
      </c>
      <c r="N48" s="65">
        <v>50000</v>
      </c>
    </row>
    <row r="49" spans="13:14" ht="12.75">
      <c r="M49" s="65">
        <v>6</v>
      </c>
      <c r="N49" s="65">
        <v>50000</v>
      </c>
    </row>
    <row r="50" spans="13:14" ht="12.75">
      <c r="M50" s="65">
        <v>6</v>
      </c>
      <c r="N50" s="65">
        <v>45000</v>
      </c>
    </row>
    <row r="51" spans="13:14" ht="12.75">
      <c r="M51" s="65">
        <v>6</v>
      </c>
      <c r="N51" s="65">
        <v>47000</v>
      </c>
    </row>
    <row r="52" spans="13:14" ht="12.75">
      <c r="M52" s="13">
        <v>6</v>
      </c>
      <c r="N52" s="66">
        <v>44000</v>
      </c>
    </row>
    <row r="53" spans="13:14" ht="12.75">
      <c r="M53" s="65">
        <v>5</v>
      </c>
      <c r="N53" s="65">
        <v>52000</v>
      </c>
    </row>
    <row r="54" spans="13:14" ht="12.75">
      <c r="M54" s="65">
        <v>5</v>
      </c>
      <c r="N54" s="65">
        <v>32000</v>
      </c>
    </row>
    <row r="55" spans="13:14" ht="12.75">
      <c r="M55" s="65">
        <v>5</v>
      </c>
      <c r="N55" s="65">
        <v>42000</v>
      </c>
    </row>
    <row r="56" spans="13:14" ht="12.75">
      <c r="M56" s="65">
        <v>5</v>
      </c>
      <c r="N56" s="65">
        <v>24000</v>
      </c>
    </row>
    <row r="57" spans="13:14" ht="12.75">
      <c r="M57" s="65">
        <v>4</v>
      </c>
      <c r="N57" s="65">
        <v>34000</v>
      </c>
    </row>
    <row r="58" spans="13:14" ht="12.75">
      <c r="M58" s="65">
        <v>3</v>
      </c>
      <c r="N58" s="65">
        <v>40000</v>
      </c>
    </row>
    <row r="59" spans="13:14" ht="12.75">
      <c r="M59" s="65">
        <v>2</v>
      </c>
      <c r="N59" s="65">
        <v>52000</v>
      </c>
    </row>
    <row r="60" spans="13:14" ht="12.75">
      <c r="M60" s="65">
        <v>2</v>
      </c>
      <c r="N60" s="65">
        <v>37000</v>
      </c>
    </row>
    <row r="61" spans="13:14" ht="12.75">
      <c r="M61" s="65">
        <v>1</v>
      </c>
      <c r="N61" s="65">
        <v>45000</v>
      </c>
    </row>
    <row r="62" spans="13:14" ht="12.75">
      <c r="M62" s="65">
        <v>1</v>
      </c>
      <c r="N62" s="65">
        <v>37000</v>
      </c>
    </row>
    <row r="63" spans="13:14" ht="12.75">
      <c r="M63" s="65">
        <v>15</v>
      </c>
      <c r="N63" s="65">
        <v>67500</v>
      </c>
    </row>
    <row r="64" spans="13:14" ht="12.75">
      <c r="M64" s="65">
        <v>11</v>
      </c>
      <c r="N64" s="65">
        <v>80000</v>
      </c>
    </row>
    <row r="65" spans="13:14" ht="12.75">
      <c r="M65" s="65">
        <v>5</v>
      </c>
      <c r="N65" s="65">
        <v>32000</v>
      </c>
    </row>
    <row r="66" spans="13:14" ht="12.75">
      <c r="M66" s="65">
        <v>15</v>
      </c>
      <c r="N66" s="65">
        <v>65000</v>
      </c>
    </row>
    <row r="67" spans="13:14" ht="12.75">
      <c r="M67" s="65">
        <v>4</v>
      </c>
      <c r="N67" s="65">
        <v>25000</v>
      </c>
    </row>
    <row r="68" spans="13:14" ht="12.75">
      <c r="M68" s="65">
        <v>5</v>
      </c>
      <c r="N68" s="65">
        <v>45000</v>
      </c>
    </row>
    <row r="69" spans="13:14" ht="12.75">
      <c r="M69" s="65">
        <v>9</v>
      </c>
      <c r="N69" s="65">
        <v>66000</v>
      </c>
    </row>
    <row r="70" spans="13:14" ht="12.75">
      <c r="M70" s="65">
        <v>3</v>
      </c>
      <c r="N70" s="65">
        <v>32000</v>
      </c>
    </row>
    <row r="71" spans="13:14" ht="12.75">
      <c r="M71" s="65">
        <v>0</v>
      </c>
      <c r="N71" s="65">
        <v>28000</v>
      </c>
    </row>
    <row r="72" spans="13:14" ht="12.75">
      <c r="M72" s="65">
        <v>7</v>
      </c>
      <c r="N72" s="65">
        <v>66000</v>
      </c>
    </row>
    <row r="73" spans="13:14" ht="12.75">
      <c r="M73" s="65">
        <v>4</v>
      </c>
      <c r="N73" s="65">
        <v>31000</v>
      </c>
    </row>
    <row r="74" spans="13:14" ht="12.75">
      <c r="M74" s="65">
        <v>10</v>
      </c>
      <c r="N74" s="65">
        <v>28000</v>
      </c>
    </row>
    <row r="75" spans="13:14" ht="12.75">
      <c r="M75" s="65">
        <v>15</v>
      </c>
      <c r="N75" s="65">
        <v>48000</v>
      </c>
    </row>
    <row r="76" spans="13:14" ht="12.75">
      <c r="M76" s="65">
        <v>10</v>
      </c>
      <c r="N76" s="65">
        <v>43000</v>
      </c>
    </row>
    <row r="77" spans="13:14" ht="12.75">
      <c r="M77" s="65">
        <v>30</v>
      </c>
      <c r="N77" s="65">
        <v>120000</v>
      </c>
    </row>
    <row r="78" spans="13:14" ht="12.75">
      <c r="M78" s="65">
        <v>20</v>
      </c>
      <c r="N78" s="65">
        <v>68000</v>
      </c>
    </row>
    <row r="79" spans="13:14" ht="12.75">
      <c r="M79" s="65">
        <v>20</v>
      </c>
      <c r="N79" s="65">
        <v>56000</v>
      </c>
    </row>
    <row r="80" spans="13:14" ht="12.75">
      <c r="M80" s="65">
        <v>30</v>
      </c>
      <c r="N80" s="65">
        <v>120000</v>
      </c>
    </row>
    <row r="81" spans="13:14" ht="12.75">
      <c r="M81" s="65">
        <v>20</v>
      </c>
      <c r="N81" s="65">
        <v>70000</v>
      </c>
    </row>
    <row r="82" spans="13:14" ht="12.75">
      <c r="M82" s="65">
        <v>20</v>
      </c>
      <c r="N82" s="65">
        <v>55000</v>
      </c>
    </row>
    <row r="83" spans="13:14" ht="12.75">
      <c r="M83" s="65">
        <v>8</v>
      </c>
      <c r="N83" s="65">
        <v>70000</v>
      </c>
    </row>
    <row r="84" spans="13:14" ht="12.75">
      <c r="M84" s="65">
        <v>20</v>
      </c>
      <c r="N84" s="65">
        <v>68000</v>
      </c>
    </row>
    <row r="85" spans="13:14" ht="12.75">
      <c r="M85" s="65">
        <v>10</v>
      </c>
      <c r="N85" s="65">
        <v>45000</v>
      </c>
    </row>
    <row r="86" spans="13:14" ht="12.75">
      <c r="M86" s="65">
        <v>5</v>
      </c>
      <c r="N86" s="65">
        <v>50000</v>
      </c>
    </row>
    <row r="87" spans="13:14" ht="12.75">
      <c r="M87" s="65">
        <v>5</v>
      </c>
      <c r="N87" s="65">
        <v>35000</v>
      </c>
    </row>
    <row r="88" spans="13:14" ht="12.75">
      <c r="M88" s="65">
        <v>10</v>
      </c>
      <c r="N88" s="65">
        <v>50000</v>
      </c>
    </row>
  </sheetData>
  <sheetProtection/>
  <printOptions/>
  <pageMargins left="0.75" right="0.75" top="1" bottom="1" header="0.5" footer="0.5"/>
  <pageSetup horizontalDpi="600" verticalDpi="600" orientation="portrait"/>
  <legacyDrawing r:id="rId2"/>
</worksheet>
</file>

<file path=xl/worksheets/sheet11.xml><?xml version="1.0" encoding="utf-8"?>
<worksheet xmlns="http://schemas.openxmlformats.org/spreadsheetml/2006/main" xmlns:r="http://schemas.openxmlformats.org/officeDocument/2006/relationships">
  <dimension ref="A1:DB36"/>
  <sheetViews>
    <sheetView zoomScalePageLayoutView="0" workbookViewId="0" topLeftCell="A1">
      <selection activeCell="C1" activeCellId="1" sqref="AF1:AG16384 C1:C16384"/>
    </sheetView>
  </sheetViews>
  <sheetFormatPr defaultColWidth="8.8515625" defaultRowHeight="12.75"/>
  <cols>
    <col min="1" max="1" width="9.421875" style="9" customWidth="1"/>
    <col min="2" max="2" width="24.140625" style="9" customWidth="1"/>
    <col min="3" max="3" width="10.421875" style="9" bestFit="1" customWidth="1"/>
    <col min="4" max="4" width="10.421875" style="9" customWidth="1"/>
    <col min="5" max="5" width="13.421875" style="9" customWidth="1"/>
    <col min="6" max="6" width="14.8515625" style="9" customWidth="1"/>
    <col min="7" max="8" width="9.140625" style="9" customWidth="1"/>
    <col min="9" max="9" width="11.8515625" style="9" customWidth="1"/>
    <col min="10" max="16" width="9.140625" style="9" customWidth="1"/>
    <col min="17" max="17" width="15.140625" style="9" customWidth="1"/>
    <col min="18" max="18" width="13.421875" style="9" bestFit="1" customWidth="1"/>
    <col min="19" max="24" width="15.140625" style="9" customWidth="1"/>
    <col min="25" max="29" width="9.8515625" style="9" customWidth="1"/>
    <col min="30" max="31" width="4.140625" style="9" customWidth="1"/>
    <col min="32" max="33" width="9.8515625" style="9" customWidth="1"/>
    <col min="34" max="36" width="8.8515625" style="9" customWidth="1"/>
    <col min="37" max="45" width="9.140625" style="9" customWidth="1"/>
    <col min="46" max="48" width="8.8515625" style="9" customWidth="1"/>
    <col min="49" max="49" width="9.140625" style="9" customWidth="1"/>
    <col min="50" max="50" width="10.00390625" style="9" bestFit="1" customWidth="1"/>
    <col min="51" max="51" width="9.00390625" style="9" bestFit="1" customWidth="1"/>
    <col min="52" max="52" width="8.8515625" style="9" customWidth="1"/>
    <col min="53" max="53" width="9.140625" style="9" customWidth="1"/>
    <col min="54" max="55" width="8.8515625" style="9" customWidth="1"/>
    <col min="56" max="64" width="9.140625" style="9" customWidth="1"/>
    <col min="65" max="83" width="8.8515625" style="9" customWidth="1"/>
    <col min="84" max="84" width="9.140625" style="9" customWidth="1"/>
    <col min="85" max="86" width="8.8515625" style="9" customWidth="1"/>
    <col min="87" max="87" width="9.140625" style="9" customWidth="1"/>
    <col min="88" max="93" width="8.8515625" style="9" customWidth="1"/>
    <col min="94" max="94" width="11.00390625" style="9" bestFit="1" customWidth="1"/>
    <col min="95" max="95" width="8.8515625" style="9" customWidth="1"/>
    <col min="96" max="96" width="9.140625" style="9" customWidth="1"/>
    <col min="97" max="16384" width="8.8515625" style="9" customWidth="1"/>
  </cols>
  <sheetData>
    <row r="1" spans="2:106" ht="15">
      <c r="B1" s="3" t="s">
        <v>34</v>
      </c>
      <c r="D1" s="3" t="s">
        <v>753</v>
      </c>
      <c r="E1" s="9" t="s">
        <v>35</v>
      </c>
      <c r="F1" s="9" t="s">
        <v>36</v>
      </c>
      <c r="G1" s="9" t="s">
        <v>37</v>
      </c>
      <c r="I1" s="9" t="s">
        <v>38</v>
      </c>
      <c r="J1" s="9" t="s">
        <v>39</v>
      </c>
      <c r="K1" s="9" t="s">
        <v>40</v>
      </c>
      <c r="L1" s="9" t="s">
        <v>41</v>
      </c>
      <c r="M1" s="9" t="s">
        <v>43</v>
      </c>
      <c r="N1" s="72" t="s">
        <v>754</v>
      </c>
      <c r="O1" s="72" t="s">
        <v>755</v>
      </c>
      <c r="P1" s="72" t="s">
        <v>710</v>
      </c>
      <c r="Q1" s="9" t="s">
        <v>185</v>
      </c>
      <c r="S1" s="9" t="s">
        <v>45</v>
      </c>
      <c r="Y1" s="12" t="s">
        <v>46</v>
      </c>
      <c r="Z1" s="9" t="s">
        <v>47</v>
      </c>
      <c r="AB1" s="9" t="s">
        <v>47</v>
      </c>
      <c r="AE1" s="9" t="s">
        <v>48</v>
      </c>
      <c r="AH1" s="9" t="s">
        <v>49</v>
      </c>
      <c r="AI1" s="9" t="s">
        <v>11</v>
      </c>
      <c r="AJ1" s="12" t="s">
        <v>12</v>
      </c>
      <c r="AK1" s="12" t="s">
        <v>711</v>
      </c>
      <c r="AL1" s="12"/>
      <c r="AM1" s="12"/>
      <c r="AN1" s="12"/>
      <c r="AO1" s="12"/>
      <c r="AP1" s="12"/>
      <c r="AQ1" s="12"/>
      <c r="AR1" s="9" t="s">
        <v>13</v>
      </c>
      <c r="AX1" s="9" t="s">
        <v>14</v>
      </c>
      <c r="AY1" s="9" t="s">
        <v>15</v>
      </c>
      <c r="AZ1" s="9" t="s">
        <v>16</v>
      </c>
      <c r="BF1" s="9" t="s">
        <v>17</v>
      </c>
      <c r="BG1" s="37" t="s">
        <v>858</v>
      </c>
      <c r="BH1" s="37" t="s">
        <v>859</v>
      </c>
      <c r="BI1" s="37" t="s">
        <v>860</v>
      </c>
      <c r="BJ1" s="37" t="s">
        <v>756</v>
      </c>
      <c r="BK1" s="37" t="s">
        <v>757</v>
      </c>
      <c r="BL1" s="37" t="s">
        <v>388</v>
      </c>
      <c r="BM1" s="9" t="s">
        <v>18</v>
      </c>
      <c r="BO1" s="9" t="s">
        <v>19</v>
      </c>
      <c r="BP1" s="12" t="s">
        <v>758</v>
      </c>
      <c r="BQ1" s="9" t="s">
        <v>20</v>
      </c>
      <c r="BR1" s="9" t="s">
        <v>21</v>
      </c>
      <c r="BT1" s="9" t="s">
        <v>22</v>
      </c>
      <c r="BV1" s="9" t="s">
        <v>101</v>
      </c>
      <c r="BX1" s="9" t="s">
        <v>102</v>
      </c>
      <c r="BY1" s="9" t="s">
        <v>103</v>
      </c>
      <c r="CA1" s="9" t="s">
        <v>104</v>
      </c>
      <c r="CB1" s="9" t="s">
        <v>105</v>
      </c>
      <c r="CC1" s="9" t="s">
        <v>106</v>
      </c>
      <c r="CD1" s="9" t="s">
        <v>108</v>
      </c>
      <c r="CE1" s="9" t="s">
        <v>109</v>
      </c>
      <c r="CF1" s="37" t="s">
        <v>469</v>
      </c>
      <c r="CG1" s="9" t="s">
        <v>259</v>
      </c>
      <c r="CI1" s="37" t="s">
        <v>759</v>
      </c>
      <c r="CJ1" s="12" t="s">
        <v>760</v>
      </c>
      <c r="CK1" s="37" t="s">
        <v>761</v>
      </c>
      <c r="CL1" s="37" t="s">
        <v>762</v>
      </c>
      <c r="CM1" s="12" t="s">
        <v>763</v>
      </c>
      <c r="CN1" s="12" t="s">
        <v>764</v>
      </c>
      <c r="CO1" s="37" t="s">
        <v>765</v>
      </c>
      <c r="CP1" s="37" t="s">
        <v>766</v>
      </c>
      <c r="CQ1" s="37" t="s">
        <v>767</v>
      </c>
      <c r="CR1" s="9" t="s">
        <v>111</v>
      </c>
      <c r="CT1" s="9" t="s">
        <v>29</v>
      </c>
      <c r="CV1" s="9" t="s">
        <v>30</v>
      </c>
      <c r="CX1" s="9" t="s">
        <v>31</v>
      </c>
      <c r="CZ1" s="9" t="s">
        <v>32</v>
      </c>
      <c r="DA1" s="9" t="s">
        <v>33</v>
      </c>
      <c r="DB1" s="9" t="s">
        <v>157</v>
      </c>
    </row>
    <row r="2" spans="4:106" ht="15">
      <c r="D2" s="3" t="s">
        <v>768</v>
      </c>
      <c r="E2" s="12" t="s">
        <v>81</v>
      </c>
      <c r="F2" s="12" t="s">
        <v>82</v>
      </c>
      <c r="G2" s="12" t="s">
        <v>83</v>
      </c>
      <c r="H2" s="12" t="s">
        <v>84</v>
      </c>
      <c r="I2" s="12" t="s">
        <v>85</v>
      </c>
      <c r="J2" s="12" t="s">
        <v>86</v>
      </c>
      <c r="K2" s="12" t="s">
        <v>87</v>
      </c>
      <c r="L2" s="12" t="s">
        <v>88</v>
      </c>
      <c r="M2" s="12" t="s">
        <v>89</v>
      </c>
      <c r="N2" s="12" t="s">
        <v>769</v>
      </c>
      <c r="O2" s="12" t="s">
        <v>770</v>
      </c>
      <c r="P2" s="12" t="s">
        <v>726</v>
      </c>
      <c r="Q2" s="12" t="s">
        <v>90</v>
      </c>
      <c r="R2" s="38"/>
      <c r="S2" s="12" t="s">
        <v>91</v>
      </c>
      <c r="T2" s="12" t="s">
        <v>92</v>
      </c>
      <c r="U2" s="12" t="s">
        <v>93</v>
      </c>
      <c r="V2" s="12" t="s">
        <v>94</v>
      </c>
      <c r="W2" s="12" t="s">
        <v>95</v>
      </c>
      <c r="X2" s="12" t="s">
        <v>96</v>
      </c>
      <c r="Y2" s="12" t="s">
        <v>97</v>
      </c>
      <c r="Z2" s="12" t="s">
        <v>98</v>
      </c>
      <c r="AA2" s="12" t="s">
        <v>99</v>
      </c>
      <c r="AB2" s="12" t="s">
        <v>100</v>
      </c>
      <c r="AC2" s="12" t="s">
        <v>214</v>
      </c>
      <c r="AD2" s="12" t="s">
        <v>215</v>
      </c>
      <c r="AE2" s="12" t="s">
        <v>216</v>
      </c>
      <c r="AF2" s="12" t="s">
        <v>727</v>
      </c>
      <c r="AG2" s="12" t="s">
        <v>773</v>
      </c>
      <c r="AH2" s="12" t="s">
        <v>217</v>
      </c>
      <c r="AI2" s="12" t="s">
        <v>218</v>
      </c>
      <c r="AJ2" s="12" t="s">
        <v>219</v>
      </c>
      <c r="AK2" s="12"/>
      <c r="AL2" s="12" t="s">
        <v>774</v>
      </c>
      <c r="AM2" s="12" t="s">
        <v>775</v>
      </c>
      <c r="AN2" s="12" t="s">
        <v>776</v>
      </c>
      <c r="AO2" s="12" t="s">
        <v>777</v>
      </c>
      <c r="AP2" s="12" t="s">
        <v>778</v>
      </c>
      <c r="AQ2" s="12" t="s">
        <v>200</v>
      </c>
      <c r="AR2" s="12" t="s">
        <v>779</v>
      </c>
      <c r="AS2" s="12" t="s">
        <v>220</v>
      </c>
      <c r="AT2" s="12" t="s">
        <v>221</v>
      </c>
      <c r="AU2" s="12" t="s">
        <v>222</v>
      </c>
      <c r="AV2" s="12" t="s">
        <v>223</v>
      </c>
      <c r="AW2" s="12" t="s">
        <v>780</v>
      </c>
      <c r="AX2" s="12" t="s">
        <v>224</v>
      </c>
      <c r="AY2" s="12" t="s">
        <v>225</v>
      </c>
      <c r="AZ2" s="12" t="s">
        <v>781</v>
      </c>
      <c r="BA2" s="12" t="s">
        <v>226</v>
      </c>
      <c r="BB2" s="12" t="s">
        <v>227</v>
      </c>
      <c r="BC2" s="12" t="s">
        <v>228</v>
      </c>
      <c r="BD2" s="12" t="s">
        <v>782</v>
      </c>
      <c r="BE2" s="12" t="s">
        <v>783</v>
      </c>
      <c r="BF2" s="12" t="s">
        <v>233</v>
      </c>
      <c r="BG2" s="12" t="s">
        <v>784</v>
      </c>
      <c r="BH2" s="12" t="s">
        <v>785</v>
      </c>
      <c r="BI2" s="12" t="s">
        <v>786</v>
      </c>
      <c r="BJ2" s="12" t="s">
        <v>787</v>
      </c>
      <c r="BK2" s="12" t="s">
        <v>788</v>
      </c>
      <c r="BL2" s="12" t="s">
        <v>790</v>
      </c>
      <c r="BM2" s="12" t="s">
        <v>236</v>
      </c>
      <c r="BN2" s="12" t="s">
        <v>237</v>
      </c>
      <c r="BO2" s="12" t="s">
        <v>235</v>
      </c>
      <c r="BP2" s="12" t="s">
        <v>238</v>
      </c>
      <c r="BQ2" s="12" t="s">
        <v>239</v>
      </c>
      <c r="BR2" s="12" t="s">
        <v>240</v>
      </c>
      <c r="BS2" s="12" t="s">
        <v>241</v>
      </c>
      <c r="BT2" s="12" t="s">
        <v>250</v>
      </c>
      <c r="BU2" s="12" t="s">
        <v>251</v>
      </c>
      <c r="BV2" s="12" t="s">
        <v>252</v>
      </c>
      <c r="BW2" s="12" t="s">
        <v>253</v>
      </c>
      <c r="BX2" s="12" t="s">
        <v>254</v>
      </c>
      <c r="BY2" s="12" t="s">
        <v>255</v>
      </c>
      <c r="BZ2" s="12" t="s">
        <v>256</v>
      </c>
      <c r="CA2" s="12" t="s">
        <v>257</v>
      </c>
      <c r="CB2" s="12" t="s">
        <v>258</v>
      </c>
      <c r="CC2" s="12" t="s">
        <v>344</v>
      </c>
      <c r="CD2" s="12" t="s">
        <v>345</v>
      </c>
      <c r="CE2" s="12" t="s">
        <v>346</v>
      </c>
      <c r="CF2" s="37" t="s">
        <v>470</v>
      </c>
      <c r="CG2" s="12" t="s">
        <v>347</v>
      </c>
      <c r="CH2" s="12" t="s">
        <v>440</v>
      </c>
      <c r="CI2" s="12" t="s">
        <v>791</v>
      </c>
      <c r="CJ2" s="12" t="s">
        <v>792</v>
      </c>
      <c r="CK2" s="12" t="s">
        <v>793</v>
      </c>
      <c r="CL2" s="12" t="s">
        <v>794</v>
      </c>
      <c r="CM2" s="12" t="s">
        <v>795</v>
      </c>
      <c r="CN2" s="12" t="s">
        <v>796</v>
      </c>
      <c r="CO2" s="12" t="s">
        <v>797</v>
      </c>
      <c r="CP2" s="12" t="s">
        <v>798</v>
      </c>
      <c r="CQ2" s="12" t="s">
        <v>799</v>
      </c>
      <c r="CR2" s="12" t="s">
        <v>441</v>
      </c>
      <c r="CS2" s="12" t="s">
        <v>134</v>
      </c>
      <c r="CT2" s="12" t="s">
        <v>442</v>
      </c>
      <c r="CU2" s="12" t="s">
        <v>135</v>
      </c>
      <c r="CV2" s="12" t="s">
        <v>443</v>
      </c>
      <c r="CW2" s="12" t="s">
        <v>136</v>
      </c>
      <c r="CX2" s="12" t="s">
        <v>441</v>
      </c>
      <c r="CY2" s="12" t="s">
        <v>134</v>
      </c>
      <c r="CZ2" s="12" t="s">
        <v>348</v>
      </c>
      <c r="DA2" s="12" t="s">
        <v>260</v>
      </c>
      <c r="DB2" s="12" t="s">
        <v>261</v>
      </c>
    </row>
    <row r="3" spans="1:106" ht="15">
      <c r="A3" s="34" t="s">
        <v>324</v>
      </c>
      <c r="B3" s="3" t="s">
        <v>189</v>
      </c>
      <c r="C3" s="34" t="s">
        <v>800</v>
      </c>
      <c r="D3" s="34" t="s">
        <v>801</v>
      </c>
      <c r="E3" s="12" t="s">
        <v>192</v>
      </c>
      <c r="F3" s="12" t="s">
        <v>50</v>
      </c>
      <c r="G3" s="12" t="s">
        <v>51</v>
      </c>
      <c r="H3" s="12" t="s">
        <v>57</v>
      </c>
      <c r="I3" s="12" t="s">
        <v>52</v>
      </c>
      <c r="J3" s="12" t="s">
        <v>53</v>
      </c>
      <c r="K3" s="12" t="s">
        <v>54</v>
      </c>
      <c r="L3" s="12" t="s">
        <v>55</v>
      </c>
      <c r="M3" s="12" t="s">
        <v>56</v>
      </c>
      <c r="N3" s="12" t="s">
        <v>802</v>
      </c>
      <c r="O3" s="12" t="s">
        <v>803</v>
      </c>
      <c r="P3" s="12" t="s">
        <v>804</v>
      </c>
      <c r="Q3" s="12" t="s">
        <v>58</v>
      </c>
      <c r="R3" s="38" t="s">
        <v>805</v>
      </c>
      <c r="S3" s="12" t="s">
        <v>59</v>
      </c>
      <c r="T3" s="12" t="s">
        <v>60</v>
      </c>
      <c r="U3" s="12" t="s">
        <v>61</v>
      </c>
      <c r="V3" s="12" t="s">
        <v>62</v>
      </c>
      <c r="W3" s="12" t="s">
        <v>63</v>
      </c>
      <c r="X3" s="12" t="s">
        <v>64</v>
      </c>
      <c r="Y3" s="12" t="s">
        <v>65</v>
      </c>
      <c r="Z3" s="12" t="s">
        <v>66</v>
      </c>
      <c r="AA3" s="12" t="s">
        <v>67</v>
      </c>
      <c r="AB3" s="12" t="s">
        <v>68</v>
      </c>
      <c r="AC3" s="12" t="s">
        <v>69</v>
      </c>
      <c r="AD3" s="12" t="s">
        <v>70</v>
      </c>
      <c r="AE3" s="12" t="s">
        <v>71</v>
      </c>
      <c r="AF3" s="12" t="s">
        <v>72</v>
      </c>
      <c r="AG3" s="12" t="s">
        <v>73</v>
      </c>
      <c r="AH3" s="12" t="s">
        <v>74</v>
      </c>
      <c r="AI3" s="12" t="s">
        <v>75</v>
      </c>
      <c r="AJ3" s="12" t="s">
        <v>76</v>
      </c>
      <c r="AK3" s="12" t="s">
        <v>806</v>
      </c>
      <c r="AL3" s="12" t="s">
        <v>77</v>
      </c>
      <c r="AM3" s="12" t="s">
        <v>78</v>
      </c>
      <c r="AN3" s="12" t="s">
        <v>79</v>
      </c>
      <c r="AO3" s="12" t="s">
        <v>80</v>
      </c>
      <c r="AP3" s="12" t="s">
        <v>807</v>
      </c>
      <c r="AQ3" s="12" t="s">
        <v>808</v>
      </c>
      <c r="AR3" s="12" t="s">
        <v>809</v>
      </c>
      <c r="AS3" s="12" t="s">
        <v>229</v>
      </c>
      <c r="AT3" s="12" t="s">
        <v>230</v>
      </c>
      <c r="AU3" s="12" t="s">
        <v>810</v>
      </c>
      <c r="AV3" s="12" t="s">
        <v>811</v>
      </c>
      <c r="AW3" s="12" t="s">
        <v>812</v>
      </c>
      <c r="AX3" s="12" t="s">
        <v>231</v>
      </c>
      <c r="AY3" s="12" t="s">
        <v>232</v>
      </c>
      <c r="AZ3" s="12" t="s">
        <v>813</v>
      </c>
      <c r="BA3" s="12" t="s">
        <v>814</v>
      </c>
      <c r="BB3" s="12" t="s">
        <v>815</v>
      </c>
      <c r="BC3" s="12" t="s">
        <v>816</v>
      </c>
      <c r="BD3" s="12" t="s">
        <v>817</v>
      </c>
      <c r="BE3" s="12" t="s">
        <v>818</v>
      </c>
      <c r="BF3" s="9" t="s">
        <v>158</v>
      </c>
      <c r="BG3" s="12" t="s">
        <v>819</v>
      </c>
      <c r="BH3" s="12" t="s">
        <v>820</v>
      </c>
      <c r="BI3" s="12" t="s">
        <v>821</v>
      </c>
      <c r="BJ3" s="12" t="s">
        <v>822</v>
      </c>
      <c r="BK3" s="12" t="s">
        <v>823</v>
      </c>
      <c r="BL3" s="12" t="s">
        <v>824</v>
      </c>
      <c r="BM3" s="12" t="s">
        <v>234</v>
      </c>
      <c r="BN3" s="12" t="s">
        <v>242</v>
      </c>
      <c r="BO3" s="12" t="s">
        <v>243</v>
      </c>
      <c r="BP3" s="12" t="s">
        <v>244</v>
      </c>
      <c r="BQ3" s="12" t="s">
        <v>245</v>
      </c>
      <c r="BR3" s="12" t="s">
        <v>246</v>
      </c>
      <c r="BS3" s="12" t="s">
        <v>247</v>
      </c>
      <c r="BT3" s="12" t="s">
        <v>248</v>
      </c>
      <c r="BU3" s="12" t="s">
        <v>249</v>
      </c>
      <c r="BV3" s="12" t="s">
        <v>262</v>
      </c>
      <c r="BW3" s="12" t="s">
        <v>263</v>
      </c>
      <c r="BX3" s="12" t="s">
        <v>264</v>
      </c>
      <c r="BY3" s="12" t="s">
        <v>265</v>
      </c>
      <c r="BZ3" s="12" t="s">
        <v>266</v>
      </c>
      <c r="CA3" s="12" t="s">
        <v>267</v>
      </c>
      <c r="CB3" s="12" t="s">
        <v>268</v>
      </c>
      <c r="CC3" s="12" t="s">
        <v>269</v>
      </c>
      <c r="CD3" s="12" t="s">
        <v>270</v>
      </c>
      <c r="CE3" s="12" t="s">
        <v>271</v>
      </c>
      <c r="CF3" s="37" t="s">
        <v>272</v>
      </c>
      <c r="CG3" s="12" t="s">
        <v>471</v>
      </c>
      <c r="CH3" s="12" t="s">
        <v>472</v>
      </c>
      <c r="CI3" s="12" t="s">
        <v>825</v>
      </c>
      <c r="CJ3" s="12" t="s">
        <v>826</v>
      </c>
      <c r="CK3" s="12" t="s">
        <v>827</v>
      </c>
      <c r="CL3" s="12" t="s">
        <v>828</v>
      </c>
      <c r="CM3" s="12" t="s">
        <v>829</v>
      </c>
      <c r="CN3" s="12" t="s">
        <v>830</v>
      </c>
      <c r="CO3" s="12" t="s">
        <v>831</v>
      </c>
      <c r="CP3" s="12" t="s">
        <v>832</v>
      </c>
      <c r="CQ3" s="12" t="s">
        <v>833</v>
      </c>
      <c r="CR3" s="12" t="s">
        <v>273</v>
      </c>
      <c r="CS3" s="12" t="s">
        <v>274</v>
      </c>
      <c r="CT3" s="12" t="s">
        <v>275</v>
      </c>
      <c r="CU3" s="12" t="s">
        <v>112</v>
      </c>
      <c r="CV3" s="12" t="s">
        <v>113</v>
      </c>
      <c r="CW3" s="12" t="s">
        <v>114</v>
      </c>
      <c r="CX3" s="12" t="s">
        <v>115</v>
      </c>
      <c r="CY3" s="12" t="s">
        <v>116</v>
      </c>
      <c r="CZ3" s="12" t="s">
        <v>117</v>
      </c>
      <c r="DA3" s="12" t="s">
        <v>118</v>
      </c>
      <c r="DB3" s="12" t="s">
        <v>119</v>
      </c>
    </row>
    <row r="4" spans="1:106" ht="12.75">
      <c r="A4" s="34" t="s">
        <v>140</v>
      </c>
      <c r="B4" s="12" t="s">
        <v>380</v>
      </c>
      <c r="C4" s="12" t="s">
        <v>341</v>
      </c>
      <c r="D4" s="34" t="s">
        <v>834</v>
      </c>
      <c r="E4" s="3">
        <v>2005</v>
      </c>
      <c r="F4" s="9">
        <v>9</v>
      </c>
      <c r="G4" s="12" t="s">
        <v>835</v>
      </c>
      <c r="I4" s="12" t="s">
        <v>183</v>
      </c>
      <c r="J4" s="35" t="s">
        <v>836</v>
      </c>
      <c r="K4" s="12" t="s">
        <v>837</v>
      </c>
      <c r="L4" s="12" t="s">
        <v>838</v>
      </c>
      <c r="M4" s="12" t="s">
        <v>839</v>
      </c>
      <c r="N4" s="12" t="s">
        <v>163</v>
      </c>
      <c r="O4" s="12">
        <v>2017</v>
      </c>
      <c r="P4" s="12" t="s">
        <v>840</v>
      </c>
      <c r="Q4" s="52">
        <v>41000</v>
      </c>
      <c r="R4" s="73">
        <f aca="true" t="shared" si="0" ref="R4:R12">SUM(S4:X4)</f>
        <v>0.9999999999999999</v>
      </c>
      <c r="S4" s="54">
        <v>0.08</v>
      </c>
      <c r="T4" s="54">
        <v>0.48</v>
      </c>
      <c r="U4" s="54">
        <v>0</v>
      </c>
      <c r="V4" s="54">
        <v>0.08</v>
      </c>
      <c r="W4" s="54">
        <v>0.28</v>
      </c>
      <c r="X4" s="54">
        <v>0.08</v>
      </c>
      <c r="Y4" s="24">
        <v>50</v>
      </c>
      <c r="Z4" s="24">
        <v>50</v>
      </c>
      <c r="AA4" s="24">
        <v>0</v>
      </c>
      <c r="AB4" s="24">
        <v>50</v>
      </c>
      <c r="AC4" s="24">
        <v>0</v>
      </c>
      <c r="AD4" s="24"/>
      <c r="AE4" s="24"/>
      <c r="AF4" s="24">
        <v>50</v>
      </c>
      <c r="AG4" s="24">
        <v>0</v>
      </c>
      <c r="AH4" s="12" t="s">
        <v>841</v>
      </c>
      <c r="AI4" s="12" t="s">
        <v>839</v>
      </c>
      <c r="AJ4" s="9">
        <v>2</v>
      </c>
      <c r="AK4" s="12" t="s">
        <v>163</v>
      </c>
      <c r="AL4" s="12" t="s">
        <v>163</v>
      </c>
      <c r="AM4" s="12" t="s">
        <v>163</v>
      </c>
      <c r="AN4" s="12" t="s">
        <v>163</v>
      </c>
      <c r="AO4" s="12" t="s">
        <v>163</v>
      </c>
      <c r="AP4" s="12" t="s">
        <v>164</v>
      </c>
      <c r="AQ4" s="12" t="s">
        <v>842</v>
      </c>
      <c r="AS4" s="35" t="s">
        <v>164</v>
      </c>
      <c r="AT4" s="35" t="s">
        <v>163</v>
      </c>
      <c r="AU4" s="12" t="s">
        <v>163</v>
      </c>
      <c r="AV4" s="12" t="s">
        <v>163</v>
      </c>
      <c r="AW4" s="12" t="s">
        <v>843</v>
      </c>
      <c r="AX4" s="48">
        <v>100</v>
      </c>
      <c r="AY4" s="48">
        <v>100</v>
      </c>
      <c r="BA4" s="12" t="s">
        <v>163</v>
      </c>
      <c r="BB4" s="12" t="s">
        <v>164</v>
      </c>
      <c r="BC4" s="12" t="s">
        <v>164</v>
      </c>
      <c r="BD4" s="12" t="s">
        <v>163</v>
      </c>
      <c r="BE4" s="12" t="s">
        <v>844</v>
      </c>
      <c r="BG4" s="36" t="s">
        <v>389</v>
      </c>
      <c r="BH4" s="12" t="s">
        <v>845</v>
      </c>
      <c r="BI4" s="12" t="s">
        <v>163</v>
      </c>
      <c r="BJ4" s="12" t="s">
        <v>164</v>
      </c>
      <c r="BK4" s="12" t="s">
        <v>846</v>
      </c>
      <c r="BL4" s="12" t="s">
        <v>847</v>
      </c>
      <c r="BM4" s="12" t="s">
        <v>163</v>
      </c>
      <c r="BN4" s="12" t="s">
        <v>848</v>
      </c>
      <c r="BO4" s="12" t="s">
        <v>163</v>
      </c>
      <c r="BP4" s="12" t="s">
        <v>164</v>
      </c>
      <c r="BQ4" s="12" t="s">
        <v>164</v>
      </c>
      <c r="BR4" s="12" t="s">
        <v>163</v>
      </c>
      <c r="BS4" s="12" t="s">
        <v>564</v>
      </c>
      <c r="BT4" s="12" t="s">
        <v>163</v>
      </c>
      <c r="BU4" s="12" t="s">
        <v>565</v>
      </c>
      <c r="BV4" s="12" t="s">
        <v>164</v>
      </c>
      <c r="BX4" s="12" t="s">
        <v>163</v>
      </c>
      <c r="BY4" s="12" t="s">
        <v>163</v>
      </c>
      <c r="BZ4" s="12" t="s">
        <v>566</v>
      </c>
      <c r="CA4" s="12" t="s">
        <v>164</v>
      </c>
      <c r="CB4" s="12" t="s">
        <v>164</v>
      </c>
      <c r="CC4" s="12" t="s">
        <v>163</v>
      </c>
      <c r="CD4" s="12" t="s">
        <v>164</v>
      </c>
      <c r="CE4" s="12" t="s">
        <v>163</v>
      </c>
      <c r="CF4" s="12" t="s">
        <v>164</v>
      </c>
      <c r="CG4" s="12" t="s">
        <v>164</v>
      </c>
      <c r="CI4" s="12" t="s">
        <v>163</v>
      </c>
      <c r="CJ4" s="12" t="s">
        <v>747</v>
      </c>
      <c r="CK4" s="12" t="s">
        <v>748</v>
      </c>
      <c r="CL4" s="12" t="s">
        <v>316</v>
      </c>
      <c r="CM4" s="12" t="s">
        <v>163</v>
      </c>
      <c r="CN4" s="12" t="s">
        <v>163</v>
      </c>
      <c r="CO4" s="12" t="s">
        <v>316</v>
      </c>
      <c r="CP4" s="49">
        <v>1500</v>
      </c>
      <c r="CQ4" s="12" t="s">
        <v>163</v>
      </c>
      <c r="CR4" s="12" t="s">
        <v>749</v>
      </c>
      <c r="CS4" s="12" t="s">
        <v>750</v>
      </c>
      <c r="CT4" s="12" t="s">
        <v>751</v>
      </c>
      <c r="CU4" s="12" t="s">
        <v>851</v>
      </c>
      <c r="CV4" s="12" t="s">
        <v>749</v>
      </c>
      <c r="CW4" s="12" t="s">
        <v>852</v>
      </c>
      <c r="CX4" s="12" t="s">
        <v>749</v>
      </c>
      <c r="CY4" s="12" t="s">
        <v>853</v>
      </c>
      <c r="CZ4" s="12" t="s">
        <v>841</v>
      </c>
      <c r="DA4" s="12" t="s">
        <v>838</v>
      </c>
      <c r="DB4" s="12" t="s">
        <v>838</v>
      </c>
    </row>
    <row r="5" spans="1:106" ht="12.75">
      <c r="A5" s="34" t="s">
        <v>332</v>
      </c>
      <c r="B5" s="12" t="s">
        <v>325</v>
      </c>
      <c r="C5" s="12" t="s">
        <v>554</v>
      </c>
      <c r="D5" s="34" t="s">
        <v>854</v>
      </c>
      <c r="E5" s="12">
        <v>1986</v>
      </c>
      <c r="F5" s="9">
        <v>15</v>
      </c>
      <c r="G5" s="9" t="s">
        <v>855</v>
      </c>
      <c r="I5" s="35" t="s">
        <v>856</v>
      </c>
      <c r="J5" s="35" t="s">
        <v>857</v>
      </c>
      <c r="K5" s="12" t="s">
        <v>839</v>
      </c>
      <c r="L5" s="12" t="s">
        <v>837</v>
      </c>
      <c r="M5" s="12" t="s">
        <v>841</v>
      </c>
      <c r="N5" s="12" t="s">
        <v>163</v>
      </c>
      <c r="O5" s="9">
        <v>2014</v>
      </c>
      <c r="P5" s="39" t="s">
        <v>863</v>
      </c>
      <c r="Q5" s="63">
        <v>900000</v>
      </c>
      <c r="R5" s="73">
        <f t="shared" si="0"/>
        <v>1</v>
      </c>
      <c r="S5" s="59">
        <v>0.02</v>
      </c>
      <c r="T5" s="59">
        <v>0.37</v>
      </c>
      <c r="U5" s="59">
        <v>0</v>
      </c>
      <c r="V5" s="59">
        <v>0.57</v>
      </c>
      <c r="W5" s="59">
        <v>0</v>
      </c>
      <c r="X5" s="59">
        <v>0.04</v>
      </c>
      <c r="Y5" s="53">
        <v>175</v>
      </c>
      <c r="Z5" s="50">
        <v>170</v>
      </c>
      <c r="AA5" s="50">
        <v>5</v>
      </c>
      <c r="AB5" s="24">
        <v>150</v>
      </c>
      <c r="AC5" s="24">
        <v>25</v>
      </c>
      <c r="AD5" s="24"/>
      <c r="AE5" s="24"/>
      <c r="AF5" s="24">
        <v>150</v>
      </c>
      <c r="AG5" s="24">
        <v>0</v>
      </c>
      <c r="AH5" s="12" t="s">
        <v>864</v>
      </c>
      <c r="AI5" s="12" t="s">
        <v>841</v>
      </c>
      <c r="AJ5" s="9">
        <v>3</v>
      </c>
      <c r="AL5" s="12" t="s">
        <v>163</v>
      </c>
      <c r="AM5" s="12" t="s">
        <v>163</v>
      </c>
      <c r="AN5" s="12" t="s">
        <v>163</v>
      </c>
      <c r="AO5" s="12" t="s">
        <v>163</v>
      </c>
      <c r="AP5" s="12" t="s">
        <v>164</v>
      </c>
      <c r="AS5" s="12" t="s">
        <v>164</v>
      </c>
      <c r="AT5" s="12" t="s">
        <v>164</v>
      </c>
      <c r="AU5" s="12" t="s">
        <v>164</v>
      </c>
      <c r="AV5" s="12" t="s">
        <v>163</v>
      </c>
      <c r="AX5" s="48">
        <v>500</v>
      </c>
      <c r="AY5" s="48">
        <v>50</v>
      </c>
      <c r="BA5" s="12" t="s">
        <v>164</v>
      </c>
      <c r="BB5" s="12" t="s">
        <v>163</v>
      </c>
      <c r="BC5" s="12" t="s">
        <v>164</v>
      </c>
      <c r="BD5" s="12" t="s">
        <v>163</v>
      </c>
      <c r="BG5" s="36" t="s">
        <v>865</v>
      </c>
      <c r="BH5" s="12" t="s">
        <v>164</v>
      </c>
      <c r="BI5" s="12" t="s">
        <v>164</v>
      </c>
      <c r="BJ5" s="12" t="s">
        <v>164</v>
      </c>
      <c r="BK5" s="12" t="s">
        <v>163</v>
      </c>
      <c r="BL5" s="12" t="s">
        <v>847</v>
      </c>
      <c r="BM5" s="12" t="s">
        <v>163</v>
      </c>
      <c r="BN5" s="12" t="s">
        <v>866</v>
      </c>
      <c r="BO5" s="12" t="s">
        <v>163</v>
      </c>
      <c r="BP5" s="12" t="s">
        <v>163</v>
      </c>
      <c r="BQ5" s="12" t="s">
        <v>164</v>
      </c>
      <c r="BR5" s="12" t="s">
        <v>163</v>
      </c>
      <c r="BS5" s="12" t="s">
        <v>567</v>
      </c>
      <c r="BT5" s="12" t="s">
        <v>163</v>
      </c>
      <c r="BU5" s="12" t="s">
        <v>568</v>
      </c>
      <c r="BV5" s="12" t="s">
        <v>163</v>
      </c>
      <c r="BW5" s="12" t="s">
        <v>569</v>
      </c>
      <c r="BX5" s="12" t="s">
        <v>163</v>
      </c>
      <c r="BY5" s="12" t="s">
        <v>163</v>
      </c>
      <c r="BZ5" s="12" t="s">
        <v>570</v>
      </c>
      <c r="CA5" s="12" t="s">
        <v>163</v>
      </c>
      <c r="CB5" s="12" t="s">
        <v>164</v>
      </c>
      <c r="CC5" s="12" t="s">
        <v>164</v>
      </c>
      <c r="CD5" s="12" t="s">
        <v>164</v>
      </c>
      <c r="CE5" s="12" t="s">
        <v>164</v>
      </c>
      <c r="CF5" s="12" t="s">
        <v>164</v>
      </c>
      <c r="CG5" s="12" t="s">
        <v>163</v>
      </c>
      <c r="CH5" s="12" t="s">
        <v>571</v>
      </c>
      <c r="CI5" s="12" t="s">
        <v>164</v>
      </c>
      <c r="CJ5" s="12" t="s">
        <v>867</v>
      </c>
      <c r="CK5" s="9" t="s">
        <v>868</v>
      </c>
      <c r="CL5" s="12" t="s">
        <v>869</v>
      </c>
      <c r="CM5" s="9" t="s">
        <v>163</v>
      </c>
      <c r="CN5" s="12" t="s">
        <v>163</v>
      </c>
      <c r="CO5" s="9" t="s">
        <v>870</v>
      </c>
      <c r="CP5" s="49">
        <v>7500</v>
      </c>
      <c r="CQ5" s="12" t="s">
        <v>163</v>
      </c>
      <c r="CR5" s="9" t="s">
        <v>871</v>
      </c>
      <c r="CS5" s="9" t="s">
        <v>872</v>
      </c>
      <c r="CT5" s="9" t="s">
        <v>873</v>
      </c>
      <c r="CU5" s="12" t="s">
        <v>874</v>
      </c>
      <c r="CV5" s="12" t="s">
        <v>749</v>
      </c>
      <c r="CW5" s="9" t="s">
        <v>875</v>
      </c>
      <c r="CX5" s="9" t="s">
        <v>749</v>
      </c>
      <c r="CY5" s="9" t="s">
        <v>876</v>
      </c>
      <c r="CZ5" s="9" t="s">
        <v>841</v>
      </c>
      <c r="DA5" s="9" t="s">
        <v>841</v>
      </c>
      <c r="DB5" s="9" t="s">
        <v>841</v>
      </c>
    </row>
    <row r="6" spans="1:106" ht="12.75">
      <c r="A6" s="34" t="s">
        <v>332</v>
      </c>
      <c r="B6" s="12" t="s">
        <v>184</v>
      </c>
      <c r="C6" s="12" t="s">
        <v>436</v>
      </c>
      <c r="D6" s="34" t="s">
        <v>854</v>
      </c>
      <c r="E6" s="3">
        <v>1984</v>
      </c>
      <c r="F6" s="9">
        <v>12</v>
      </c>
      <c r="G6" s="9" t="s">
        <v>835</v>
      </c>
      <c r="I6" s="9" t="s">
        <v>877</v>
      </c>
      <c r="J6" s="9" t="s">
        <v>771</v>
      </c>
      <c r="K6" s="9" t="s">
        <v>838</v>
      </c>
      <c r="L6" s="9" t="s">
        <v>838</v>
      </c>
      <c r="M6" s="9" t="s">
        <v>841</v>
      </c>
      <c r="N6" s="9" t="s">
        <v>163</v>
      </c>
      <c r="O6" s="9" t="s">
        <v>772</v>
      </c>
      <c r="P6" s="12" t="s">
        <v>879</v>
      </c>
      <c r="Q6" s="52">
        <v>750000</v>
      </c>
      <c r="R6" s="54">
        <f t="shared" si="0"/>
        <v>1</v>
      </c>
      <c r="S6" s="54">
        <v>0.2</v>
      </c>
      <c r="T6" s="54">
        <v>0</v>
      </c>
      <c r="U6" s="54">
        <v>0.5</v>
      </c>
      <c r="V6" s="54">
        <v>0.15</v>
      </c>
      <c r="W6" s="54">
        <v>0.15</v>
      </c>
      <c r="X6" s="54">
        <v>0</v>
      </c>
      <c r="Y6" s="74">
        <v>350</v>
      </c>
      <c r="Z6" s="24">
        <v>116</v>
      </c>
      <c r="AA6" s="24">
        <v>233</v>
      </c>
      <c r="AB6" s="50">
        <v>263</v>
      </c>
      <c r="AC6" s="50">
        <v>87</v>
      </c>
      <c r="AD6" s="24">
        <v>0</v>
      </c>
      <c r="AE6" s="24">
        <v>0</v>
      </c>
      <c r="AF6" s="51">
        <v>66</v>
      </c>
      <c r="AG6" s="51">
        <v>197</v>
      </c>
      <c r="AH6" s="35" t="s">
        <v>880</v>
      </c>
      <c r="AI6" s="35" t="s">
        <v>839</v>
      </c>
      <c r="AJ6" s="9">
        <v>2</v>
      </c>
      <c r="AL6" s="12" t="s">
        <v>163</v>
      </c>
      <c r="AM6" s="12" t="s">
        <v>163</v>
      </c>
      <c r="AN6" s="12" t="s">
        <v>163</v>
      </c>
      <c r="AO6" s="12" t="s">
        <v>163</v>
      </c>
      <c r="AP6" s="12" t="s">
        <v>163</v>
      </c>
      <c r="AS6" s="12" t="s">
        <v>163</v>
      </c>
      <c r="AT6" s="12" t="s">
        <v>163</v>
      </c>
      <c r="AU6" s="12" t="s">
        <v>164</v>
      </c>
      <c r="AV6" s="12" t="s">
        <v>164</v>
      </c>
      <c r="AW6" s="12" t="s">
        <v>881</v>
      </c>
      <c r="AX6" s="48">
        <v>750</v>
      </c>
      <c r="AY6" s="48">
        <v>20</v>
      </c>
      <c r="BA6" s="9" t="s">
        <v>163</v>
      </c>
      <c r="BB6" s="12" t="s">
        <v>164</v>
      </c>
      <c r="BC6" s="12" t="s">
        <v>163</v>
      </c>
      <c r="BD6" s="12" t="s">
        <v>163</v>
      </c>
      <c r="BE6" s="9" t="s">
        <v>882</v>
      </c>
      <c r="BG6" s="9" t="s">
        <v>883</v>
      </c>
      <c r="BH6" s="9" t="s">
        <v>884</v>
      </c>
      <c r="BI6" s="12" t="s">
        <v>163</v>
      </c>
      <c r="BJ6" s="12" t="s">
        <v>164</v>
      </c>
      <c r="BK6" s="12" t="s">
        <v>163</v>
      </c>
      <c r="BL6" s="9" t="s">
        <v>390</v>
      </c>
      <c r="BM6" s="35" t="s">
        <v>163</v>
      </c>
      <c r="BN6" s="12" t="s">
        <v>885</v>
      </c>
      <c r="BO6" s="9" t="s">
        <v>163</v>
      </c>
      <c r="BP6" s="9" t="s">
        <v>163</v>
      </c>
      <c r="BQ6" s="35" t="s">
        <v>164</v>
      </c>
      <c r="BR6" s="12" t="s">
        <v>163</v>
      </c>
      <c r="BS6" s="12" t="s">
        <v>572</v>
      </c>
      <c r="BT6" s="12" t="s">
        <v>163</v>
      </c>
      <c r="BU6" s="9" t="s">
        <v>573</v>
      </c>
      <c r="BV6" s="9" t="s">
        <v>163</v>
      </c>
      <c r="BW6" s="12" t="s">
        <v>574</v>
      </c>
      <c r="BX6" s="35" t="s">
        <v>164</v>
      </c>
      <c r="BY6" s="12" t="s">
        <v>163</v>
      </c>
      <c r="BZ6" s="9" t="s">
        <v>575</v>
      </c>
      <c r="CA6" s="9" t="s">
        <v>164</v>
      </c>
      <c r="CB6" s="9" t="s">
        <v>164</v>
      </c>
      <c r="CC6" s="12" t="s">
        <v>163</v>
      </c>
      <c r="CD6" s="12" t="s">
        <v>164</v>
      </c>
      <c r="CE6" s="12" t="s">
        <v>164</v>
      </c>
      <c r="CF6" s="12" t="s">
        <v>164</v>
      </c>
      <c r="CG6" s="12" t="s">
        <v>163</v>
      </c>
      <c r="CH6" s="12" t="s">
        <v>576</v>
      </c>
      <c r="CI6" s="9" t="s">
        <v>163</v>
      </c>
      <c r="CJ6" s="12" t="s">
        <v>789</v>
      </c>
      <c r="CK6" s="12" t="s">
        <v>890</v>
      </c>
      <c r="CL6" s="12" t="s">
        <v>891</v>
      </c>
      <c r="CM6" s="12" t="s">
        <v>163</v>
      </c>
      <c r="CN6" s="12" t="s">
        <v>163</v>
      </c>
      <c r="CO6" s="12" t="s">
        <v>892</v>
      </c>
      <c r="CP6" s="49">
        <v>6000</v>
      </c>
      <c r="CQ6" s="12" t="s">
        <v>163</v>
      </c>
      <c r="CR6" s="9" t="s">
        <v>751</v>
      </c>
      <c r="CS6" s="12" t="s">
        <v>893</v>
      </c>
      <c r="CT6" s="9" t="s">
        <v>749</v>
      </c>
      <c r="CU6" s="9" t="s">
        <v>894</v>
      </c>
      <c r="CV6" s="9" t="s">
        <v>749</v>
      </c>
      <c r="CW6" s="9" t="s">
        <v>895</v>
      </c>
      <c r="CX6" s="9" t="s">
        <v>749</v>
      </c>
      <c r="CY6" s="12" t="s">
        <v>896</v>
      </c>
      <c r="CZ6" s="9" t="s">
        <v>841</v>
      </c>
      <c r="DA6" s="9" t="s">
        <v>841</v>
      </c>
      <c r="DB6" s="9" t="s">
        <v>841</v>
      </c>
    </row>
    <row r="7" spans="1:106" ht="14.25">
      <c r="A7" s="34" t="s">
        <v>332</v>
      </c>
      <c r="B7" s="34" t="s">
        <v>182</v>
      </c>
      <c r="C7" s="12" t="s">
        <v>286</v>
      </c>
      <c r="D7" s="34" t="s">
        <v>854</v>
      </c>
      <c r="E7" s="3">
        <v>1985</v>
      </c>
      <c r="F7" s="9">
        <v>20</v>
      </c>
      <c r="G7" s="12" t="s">
        <v>897</v>
      </c>
      <c r="H7" s="12" t="s">
        <v>163</v>
      </c>
      <c r="I7" s="35" t="s">
        <v>183</v>
      </c>
      <c r="J7" s="12" t="s">
        <v>898</v>
      </c>
      <c r="K7" s="12" t="s">
        <v>841</v>
      </c>
      <c r="L7" s="12" t="s">
        <v>838</v>
      </c>
      <c r="M7" s="12" t="s">
        <v>841</v>
      </c>
      <c r="N7" s="12" t="s">
        <v>163</v>
      </c>
      <c r="O7" s="9">
        <v>2015</v>
      </c>
      <c r="P7" s="40" t="s">
        <v>899</v>
      </c>
      <c r="Q7" s="52">
        <v>750000</v>
      </c>
      <c r="R7" s="73">
        <f t="shared" si="0"/>
        <v>1</v>
      </c>
      <c r="S7" s="41">
        <v>0.3</v>
      </c>
      <c r="T7" s="75">
        <v>0.01</v>
      </c>
      <c r="U7" s="41">
        <v>0.05</v>
      </c>
      <c r="V7" s="41">
        <v>0.31</v>
      </c>
      <c r="W7" s="41">
        <v>0.31</v>
      </c>
      <c r="X7" s="42">
        <v>0.02</v>
      </c>
      <c r="Y7" s="53">
        <v>480</v>
      </c>
      <c r="Z7" s="24">
        <v>380</v>
      </c>
      <c r="AA7" s="24">
        <v>100</v>
      </c>
      <c r="AB7" s="24">
        <v>240</v>
      </c>
      <c r="AC7" s="24">
        <v>240</v>
      </c>
      <c r="AE7" s="41"/>
      <c r="AF7" s="24">
        <v>60</v>
      </c>
      <c r="AG7" s="24">
        <v>180</v>
      </c>
      <c r="AH7" s="12" t="s">
        <v>864</v>
      </c>
      <c r="AI7" s="12" t="s">
        <v>841</v>
      </c>
      <c r="AJ7" s="9">
        <v>2</v>
      </c>
      <c r="AL7" s="12" t="s">
        <v>163</v>
      </c>
      <c r="AM7" s="12" t="s">
        <v>163</v>
      </c>
      <c r="AN7" s="12" t="s">
        <v>163</v>
      </c>
      <c r="AO7" s="12" t="s">
        <v>163</v>
      </c>
      <c r="AP7" s="12" t="s">
        <v>164</v>
      </c>
      <c r="AQ7" s="12" t="s">
        <v>900</v>
      </c>
      <c r="AS7" s="12" t="s">
        <v>163</v>
      </c>
      <c r="AT7" s="12" t="s">
        <v>163</v>
      </c>
      <c r="AU7" s="12" t="s">
        <v>163</v>
      </c>
      <c r="AV7" s="12" t="s">
        <v>164</v>
      </c>
      <c r="AW7" s="12" t="s">
        <v>901</v>
      </c>
      <c r="AX7" s="48">
        <v>1550</v>
      </c>
      <c r="AY7" s="48">
        <v>25</v>
      </c>
      <c r="BA7" s="12" t="s">
        <v>163</v>
      </c>
      <c r="BB7" s="12" t="s">
        <v>163</v>
      </c>
      <c r="BC7" s="12" t="s">
        <v>163</v>
      </c>
      <c r="BD7" s="12" t="s">
        <v>163</v>
      </c>
      <c r="BE7" s="12" t="s">
        <v>902</v>
      </c>
      <c r="BG7" s="36" t="s">
        <v>903</v>
      </c>
      <c r="BH7" s="12" t="s">
        <v>904</v>
      </c>
      <c r="BI7" s="12" t="s">
        <v>163</v>
      </c>
      <c r="BJ7" s="12" t="s">
        <v>391</v>
      </c>
      <c r="BK7" s="12" t="s">
        <v>163</v>
      </c>
      <c r="BL7" s="12" t="s">
        <v>905</v>
      </c>
      <c r="BM7" s="12" t="s">
        <v>163</v>
      </c>
      <c r="BN7" s="12" t="s">
        <v>906</v>
      </c>
      <c r="BO7" s="12" t="s">
        <v>163</v>
      </c>
      <c r="BP7" s="12" t="s">
        <v>164</v>
      </c>
      <c r="BQ7" s="12" t="s">
        <v>164</v>
      </c>
      <c r="BR7" s="12" t="s">
        <v>163</v>
      </c>
      <c r="BS7" s="12" t="s">
        <v>577</v>
      </c>
      <c r="BT7" s="12" t="s">
        <v>163</v>
      </c>
      <c r="BU7" s="12" t="s">
        <v>579</v>
      </c>
      <c r="BV7" s="12" t="s">
        <v>164</v>
      </c>
      <c r="BX7" s="12" t="s">
        <v>164</v>
      </c>
      <c r="BY7" s="12" t="s">
        <v>163</v>
      </c>
      <c r="BZ7" s="12" t="s">
        <v>626</v>
      </c>
      <c r="CA7" s="12" t="s">
        <v>164</v>
      </c>
      <c r="CB7" s="12" t="s">
        <v>164</v>
      </c>
      <c r="CC7" s="12" t="s">
        <v>164</v>
      </c>
      <c r="CD7" s="12" t="s">
        <v>164</v>
      </c>
      <c r="CE7" s="12" t="s">
        <v>164</v>
      </c>
      <c r="CF7" s="12" t="s">
        <v>164</v>
      </c>
      <c r="CG7" s="12" t="s">
        <v>164</v>
      </c>
      <c r="CI7" s="12" t="s">
        <v>164</v>
      </c>
      <c r="CL7" s="12" t="s">
        <v>316</v>
      </c>
      <c r="CM7" s="12" t="s">
        <v>163</v>
      </c>
      <c r="CN7" s="12" t="s">
        <v>163</v>
      </c>
      <c r="CO7" s="12" t="s">
        <v>907</v>
      </c>
      <c r="CP7" s="49">
        <v>1000</v>
      </c>
      <c r="CQ7" s="12" t="s">
        <v>849</v>
      </c>
      <c r="CR7" s="12" t="s">
        <v>749</v>
      </c>
      <c r="CS7" s="12" t="s">
        <v>850</v>
      </c>
      <c r="CT7" s="12" t="s">
        <v>749</v>
      </c>
      <c r="CU7" s="12" t="s">
        <v>908</v>
      </c>
      <c r="CV7" s="12" t="s">
        <v>749</v>
      </c>
      <c r="CW7" s="12" t="s">
        <v>909</v>
      </c>
      <c r="CX7" s="12" t="s">
        <v>749</v>
      </c>
      <c r="CY7" s="12" t="s">
        <v>910</v>
      </c>
      <c r="CZ7" s="12" t="s">
        <v>841</v>
      </c>
      <c r="DA7" s="12" t="s">
        <v>841</v>
      </c>
      <c r="DB7" s="12" t="s">
        <v>838</v>
      </c>
    </row>
    <row r="8" spans="1:106" ht="12.75">
      <c r="A8" s="34" t="s">
        <v>141</v>
      </c>
      <c r="B8" s="34" t="s">
        <v>186</v>
      </c>
      <c r="C8" s="12" t="s">
        <v>445</v>
      </c>
      <c r="D8" s="34" t="s">
        <v>121</v>
      </c>
      <c r="E8" s="3">
        <v>1981</v>
      </c>
      <c r="F8" s="9">
        <v>15</v>
      </c>
      <c r="G8" s="9" t="s">
        <v>897</v>
      </c>
      <c r="I8" s="9" t="s">
        <v>911</v>
      </c>
      <c r="J8" s="9" t="s">
        <v>164</v>
      </c>
      <c r="K8" s="9" t="s">
        <v>841</v>
      </c>
      <c r="L8" s="9" t="s">
        <v>838</v>
      </c>
      <c r="M8" s="9" t="s">
        <v>841</v>
      </c>
      <c r="N8" s="9" t="s">
        <v>163</v>
      </c>
      <c r="O8" s="9" t="s">
        <v>912</v>
      </c>
      <c r="P8" s="35" t="s">
        <v>913</v>
      </c>
      <c r="Q8" s="52">
        <v>700000</v>
      </c>
      <c r="R8" s="54">
        <f t="shared" si="0"/>
        <v>1</v>
      </c>
      <c r="S8" s="54">
        <v>0.1</v>
      </c>
      <c r="T8" s="54">
        <v>0.4</v>
      </c>
      <c r="U8" s="54">
        <v>0.3</v>
      </c>
      <c r="V8" s="54">
        <v>0.1</v>
      </c>
      <c r="W8" s="54">
        <v>0.05</v>
      </c>
      <c r="X8" s="54">
        <v>0.05</v>
      </c>
      <c r="Y8" s="53">
        <v>220</v>
      </c>
      <c r="Z8" s="53">
        <v>190</v>
      </c>
      <c r="AA8" s="53">
        <v>30</v>
      </c>
      <c r="AB8" s="53">
        <v>120</v>
      </c>
      <c r="AC8" s="53">
        <v>100</v>
      </c>
      <c r="AD8" s="24"/>
      <c r="AE8" s="24"/>
      <c r="AF8" s="51">
        <v>60</v>
      </c>
      <c r="AG8" s="51">
        <v>60</v>
      </c>
      <c r="AH8" s="9" t="s">
        <v>880</v>
      </c>
      <c r="AI8" s="9" t="s">
        <v>841</v>
      </c>
      <c r="AJ8" s="9">
        <v>4</v>
      </c>
      <c r="AL8" s="12" t="s">
        <v>163</v>
      </c>
      <c r="AM8" s="12" t="s">
        <v>163</v>
      </c>
      <c r="AN8" s="12" t="s">
        <v>163</v>
      </c>
      <c r="AO8" s="12" t="s">
        <v>163</v>
      </c>
      <c r="AP8" s="12" t="s">
        <v>164</v>
      </c>
      <c r="AQ8" s="12" t="s">
        <v>914</v>
      </c>
      <c r="AS8" s="9" t="s">
        <v>163</v>
      </c>
      <c r="AT8" s="9" t="s">
        <v>163</v>
      </c>
      <c r="AU8" s="9" t="s">
        <v>163</v>
      </c>
      <c r="AV8" s="35" t="s">
        <v>164</v>
      </c>
      <c r="AX8" s="48">
        <v>250</v>
      </c>
      <c r="AY8" s="48">
        <v>25</v>
      </c>
      <c r="BA8" s="12" t="s">
        <v>163</v>
      </c>
      <c r="BB8" s="12" t="s">
        <v>164</v>
      </c>
      <c r="BC8" s="12" t="s">
        <v>163</v>
      </c>
      <c r="BD8" s="12" t="s">
        <v>163</v>
      </c>
      <c r="BG8" s="36" t="s">
        <v>392</v>
      </c>
      <c r="BH8" s="9" t="s">
        <v>915</v>
      </c>
      <c r="BI8" s="12" t="s">
        <v>163</v>
      </c>
      <c r="BJ8" s="12" t="s">
        <v>164</v>
      </c>
      <c r="BK8" s="12" t="s">
        <v>163</v>
      </c>
      <c r="BL8" s="12" t="s">
        <v>393</v>
      </c>
      <c r="BM8" s="35" t="s">
        <v>163</v>
      </c>
      <c r="BN8" s="12" t="s">
        <v>861</v>
      </c>
      <c r="BO8" s="9" t="s">
        <v>163</v>
      </c>
      <c r="BP8" s="12" t="s">
        <v>163</v>
      </c>
      <c r="BQ8" s="9" t="s">
        <v>163</v>
      </c>
      <c r="BR8" s="12" t="s">
        <v>163</v>
      </c>
      <c r="BS8" s="12" t="s">
        <v>627</v>
      </c>
      <c r="BT8" s="12" t="s">
        <v>163</v>
      </c>
      <c r="BU8" s="9" t="s">
        <v>494</v>
      </c>
      <c r="BV8" s="9" t="s">
        <v>163</v>
      </c>
      <c r="BW8" s="12" t="s">
        <v>495</v>
      </c>
      <c r="BX8" s="12" t="s">
        <v>163</v>
      </c>
      <c r="BY8" s="12" t="s">
        <v>164</v>
      </c>
      <c r="CA8" s="9" t="s">
        <v>164</v>
      </c>
      <c r="CB8" s="9" t="s">
        <v>164</v>
      </c>
      <c r="CC8" s="12" t="s">
        <v>163</v>
      </c>
      <c r="CD8" s="12" t="s">
        <v>164</v>
      </c>
      <c r="CE8" s="12" t="s">
        <v>163</v>
      </c>
      <c r="CF8" s="12" t="s">
        <v>164</v>
      </c>
      <c r="CG8" s="35" t="s">
        <v>164</v>
      </c>
      <c r="CI8" s="12" t="s">
        <v>163</v>
      </c>
      <c r="CJ8" s="9" t="s">
        <v>862</v>
      </c>
      <c r="CK8" s="9" t="s">
        <v>920</v>
      </c>
      <c r="CL8" s="9" t="s">
        <v>921</v>
      </c>
      <c r="CM8" s="9" t="s">
        <v>163</v>
      </c>
      <c r="CN8" s="12" t="s">
        <v>163</v>
      </c>
      <c r="CO8" s="12" t="s">
        <v>922</v>
      </c>
      <c r="CP8" s="49">
        <v>1000</v>
      </c>
      <c r="CQ8" s="12" t="s">
        <v>163</v>
      </c>
      <c r="CR8" s="12" t="s">
        <v>751</v>
      </c>
      <c r="CS8" s="12" t="s">
        <v>923</v>
      </c>
      <c r="CT8" s="9" t="s">
        <v>749</v>
      </c>
      <c r="CU8" s="12" t="s">
        <v>924</v>
      </c>
      <c r="CV8" s="9" t="s">
        <v>751</v>
      </c>
      <c r="CW8" s="9" t="s">
        <v>925</v>
      </c>
      <c r="CX8" s="9" t="s">
        <v>749</v>
      </c>
      <c r="CY8" s="12" t="s">
        <v>926</v>
      </c>
      <c r="CZ8" s="9" t="s">
        <v>841</v>
      </c>
      <c r="DA8" s="9" t="s">
        <v>841</v>
      </c>
      <c r="DB8" s="9" t="s">
        <v>841</v>
      </c>
    </row>
    <row r="9" spans="1:106" ht="12.75">
      <c r="A9" s="34" t="s">
        <v>146</v>
      </c>
      <c r="B9" s="12" t="s">
        <v>331</v>
      </c>
      <c r="C9" s="12" t="s">
        <v>349</v>
      </c>
      <c r="D9" s="34" t="s">
        <v>927</v>
      </c>
      <c r="E9" s="3">
        <v>2000</v>
      </c>
      <c r="F9" s="9">
        <v>16</v>
      </c>
      <c r="G9" s="35" t="s">
        <v>835</v>
      </c>
      <c r="H9" s="35" t="s">
        <v>430</v>
      </c>
      <c r="I9" s="35" t="s">
        <v>928</v>
      </c>
      <c r="J9" s="35" t="s">
        <v>929</v>
      </c>
      <c r="K9" s="35" t="s">
        <v>839</v>
      </c>
      <c r="L9" s="35" t="s">
        <v>838</v>
      </c>
      <c r="M9" s="35" t="s">
        <v>841</v>
      </c>
      <c r="N9" s="9" t="s">
        <v>164</v>
      </c>
      <c r="O9" s="9">
        <v>2015</v>
      </c>
      <c r="P9" s="9" t="s">
        <v>930</v>
      </c>
      <c r="Q9" s="52">
        <v>750000</v>
      </c>
      <c r="R9" s="73">
        <f t="shared" si="0"/>
        <v>1</v>
      </c>
      <c r="S9" s="42">
        <v>0.05</v>
      </c>
      <c r="T9" s="9">
        <v>0</v>
      </c>
      <c r="U9" s="41">
        <v>0.5</v>
      </c>
      <c r="V9" s="41">
        <v>0.25</v>
      </c>
      <c r="W9" s="41">
        <v>0.13</v>
      </c>
      <c r="X9" s="41">
        <v>0.07</v>
      </c>
      <c r="Y9" s="60">
        <v>170</v>
      </c>
      <c r="Z9" s="19">
        <v>140</v>
      </c>
      <c r="AA9" s="9">
        <v>30</v>
      </c>
      <c r="AB9" s="12">
        <v>75</v>
      </c>
      <c r="AC9" s="9">
        <v>55</v>
      </c>
      <c r="AF9" s="3">
        <v>10</v>
      </c>
      <c r="AG9" s="3">
        <v>65</v>
      </c>
      <c r="AH9" s="35" t="s">
        <v>838</v>
      </c>
      <c r="AI9" s="35" t="s">
        <v>841</v>
      </c>
      <c r="AJ9" s="9">
        <v>8</v>
      </c>
      <c r="AL9" s="12" t="s">
        <v>163</v>
      </c>
      <c r="AM9" s="12" t="s">
        <v>163</v>
      </c>
      <c r="AN9" s="12" t="s">
        <v>163</v>
      </c>
      <c r="AO9" s="12" t="s">
        <v>163</v>
      </c>
      <c r="AP9" s="12" t="s">
        <v>163</v>
      </c>
      <c r="AQ9" s="12" t="s">
        <v>931</v>
      </c>
      <c r="AS9" s="12" t="s">
        <v>163</v>
      </c>
      <c r="AT9" s="12" t="s">
        <v>163</v>
      </c>
      <c r="AU9" s="12" t="s">
        <v>164</v>
      </c>
      <c r="AV9" s="12" t="s">
        <v>164</v>
      </c>
      <c r="AX9" s="48">
        <v>500</v>
      </c>
      <c r="AY9" s="48">
        <v>50</v>
      </c>
      <c r="BA9" s="12" t="s">
        <v>163</v>
      </c>
      <c r="BB9" s="12" t="s">
        <v>164</v>
      </c>
      <c r="BC9" s="12" t="s">
        <v>164</v>
      </c>
      <c r="BD9" s="12" t="s">
        <v>163</v>
      </c>
      <c r="BE9" s="9" t="s">
        <v>932</v>
      </c>
      <c r="BG9" s="9" t="s">
        <v>933</v>
      </c>
      <c r="BH9" s="12" t="s">
        <v>934</v>
      </c>
      <c r="BI9" s="12" t="s">
        <v>163</v>
      </c>
      <c r="BJ9" s="12" t="s">
        <v>164</v>
      </c>
      <c r="BK9" s="12" t="s">
        <v>163</v>
      </c>
      <c r="BL9" s="12" t="s">
        <v>394</v>
      </c>
      <c r="BM9" s="35" t="s">
        <v>163</v>
      </c>
      <c r="BN9" s="35" t="s">
        <v>935</v>
      </c>
      <c r="BO9" s="35" t="s">
        <v>163</v>
      </c>
      <c r="BP9" s="12" t="s">
        <v>163</v>
      </c>
      <c r="BQ9" s="35" t="s">
        <v>164</v>
      </c>
      <c r="BR9" s="35" t="s">
        <v>163</v>
      </c>
      <c r="BS9" s="35" t="s">
        <v>496</v>
      </c>
      <c r="BT9" s="35" t="s">
        <v>163</v>
      </c>
      <c r="BU9" s="35" t="s">
        <v>497</v>
      </c>
      <c r="BV9" s="35" t="s">
        <v>163</v>
      </c>
      <c r="BW9" s="12" t="s">
        <v>498</v>
      </c>
      <c r="BX9" s="35" t="s">
        <v>164</v>
      </c>
      <c r="BY9" s="12" t="s">
        <v>163</v>
      </c>
      <c r="BZ9" s="35" t="s">
        <v>592</v>
      </c>
      <c r="CA9" s="35" t="s">
        <v>164</v>
      </c>
      <c r="CB9" s="35" t="s">
        <v>164</v>
      </c>
      <c r="CC9" s="35" t="s">
        <v>163</v>
      </c>
      <c r="CD9" s="35" t="s">
        <v>164</v>
      </c>
      <c r="CE9" s="35" t="s">
        <v>164</v>
      </c>
      <c r="CF9" s="9" t="s">
        <v>164</v>
      </c>
      <c r="CG9" s="35" t="s">
        <v>164</v>
      </c>
      <c r="CI9" s="9" t="s">
        <v>163</v>
      </c>
      <c r="CJ9" s="9" t="s">
        <v>936</v>
      </c>
      <c r="CK9" s="35" t="s">
        <v>937</v>
      </c>
      <c r="CL9" s="35" t="s">
        <v>878</v>
      </c>
      <c r="CM9" s="35" t="s">
        <v>163</v>
      </c>
      <c r="CN9" s="35" t="s">
        <v>163</v>
      </c>
      <c r="CO9" s="12" t="s">
        <v>938</v>
      </c>
      <c r="CP9" s="49">
        <v>8000</v>
      </c>
      <c r="CQ9" s="35" t="s">
        <v>939</v>
      </c>
      <c r="CR9" s="35" t="s">
        <v>166</v>
      </c>
      <c r="CS9" s="35" t="s">
        <v>940</v>
      </c>
      <c r="CT9" s="35" t="s">
        <v>749</v>
      </c>
      <c r="CU9" s="35" t="s">
        <v>941</v>
      </c>
      <c r="CV9" s="35" t="s">
        <v>751</v>
      </c>
      <c r="CW9" s="35" t="s">
        <v>942</v>
      </c>
      <c r="CX9" s="35" t="s">
        <v>749</v>
      </c>
      <c r="CY9" s="35" t="s">
        <v>886</v>
      </c>
      <c r="CZ9" s="35" t="s">
        <v>841</v>
      </c>
      <c r="DA9" s="35" t="s">
        <v>838</v>
      </c>
      <c r="DB9" s="35" t="s">
        <v>839</v>
      </c>
    </row>
    <row r="10" spans="1:106" ht="12.75">
      <c r="A10" s="34" t="s">
        <v>146</v>
      </c>
      <c r="B10" s="34" t="s">
        <v>357</v>
      </c>
      <c r="C10" s="12" t="s">
        <v>550</v>
      </c>
      <c r="D10" s="34" t="s">
        <v>927</v>
      </c>
      <c r="E10" s="3">
        <v>1991</v>
      </c>
      <c r="F10" s="9">
        <v>18</v>
      </c>
      <c r="G10" s="35" t="s">
        <v>835</v>
      </c>
      <c r="I10" s="35" t="s">
        <v>856</v>
      </c>
      <c r="J10" s="35" t="s">
        <v>887</v>
      </c>
      <c r="K10" s="35" t="s">
        <v>839</v>
      </c>
      <c r="L10" s="35" t="s">
        <v>838</v>
      </c>
      <c r="M10" s="35" t="s">
        <v>841</v>
      </c>
      <c r="N10" s="35" t="s">
        <v>163</v>
      </c>
      <c r="O10" s="9">
        <v>2015</v>
      </c>
      <c r="P10" s="12" t="s">
        <v>888</v>
      </c>
      <c r="Q10" s="52">
        <v>400000</v>
      </c>
      <c r="R10" s="73">
        <f t="shared" si="0"/>
        <v>400000</v>
      </c>
      <c r="S10" s="76">
        <v>70000</v>
      </c>
      <c r="T10" s="76">
        <v>15000</v>
      </c>
      <c r="U10" s="53">
        <v>0</v>
      </c>
      <c r="V10" s="53">
        <v>135000</v>
      </c>
      <c r="W10" s="53">
        <v>70000</v>
      </c>
      <c r="X10" s="53">
        <v>110000</v>
      </c>
      <c r="Y10" s="50">
        <v>300</v>
      </c>
      <c r="Z10" s="41">
        <v>0.75</v>
      </c>
      <c r="AA10" s="41">
        <v>0.25</v>
      </c>
      <c r="AB10" s="54">
        <v>0.7</v>
      </c>
      <c r="AC10" s="54">
        <v>0.3</v>
      </c>
      <c r="AD10" s="24"/>
      <c r="AE10" s="24"/>
      <c r="AF10" s="51">
        <v>90</v>
      </c>
      <c r="AG10" s="51">
        <v>10</v>
      </c>
      <c r="AH10" s="12" t="s">
        <v>837</v>
      </c>
      <c r="AI10" s="35" t="s">
        <v>841</v>
      </c>
      <c r="AJ10" s="12">
        <v>4</v>
      </c>
      <c r="AL10" s="12" t="s">
        <v>163</v>
      </c>
      <c r="AM10" s="12" t="s">
        <v>163</v>
      </c>
      <c r="AN10" s="12" t="s">
        <v>163</v>
      </c>
      <c r="AO10" s="12" t="s">
        <v>163</v>
      </c>
      <c r="AP10" s="12" t="s">
        <v>164</v>
      </c>
      <c r="AQ10" s="12"/>
      <c r="AS10" s="35" t="s">
        <v>164</v>
      </c>
      <c r="AT10" s="35" t="s">
        <v>163</v>
      </c>
      <c r="AU10" s="35" t="s">
        <v>163</v>
      </c>
      <c r="AV10" s="35" t="s">
        <v>164</v>
      </c>
      <c r="AW10" s="12" t="s">
        <v>889</v>
      </c>
      <c r="AX10" s="48">
        <v>500</v>
      </c>
      <c r="AY10" s="48">
        <v>25</v>
      </c>
      <c r="BA10" s="12" t="s">
        <v>163</v>
      </c>
      <c r="BB10" s="35" t="s">
        <v>164</v>
      </c>
      <c r="BC10" s="35" t="s">
        <v>164</v>
      </c>
      <c r="BD10" s="35" t="s">
        <v>163</v>
      </c>
      <c r="BE10" s="12" t="s">
        <v>953</v>
      </c>
      <c r="BG10" s="9" t="s">
        <v>954</v>
      </c>
      <c r="BH10" s="12" t="s">
        <v>955</v>
      </c>
      <c r="BI10" s="12" t="s">
        <v>163</v>
      </c>
      <c r="BJ10" s="12" t="s">
        <v>395</v>
      </c>
      <c r="BK10" s="9" t="s">
        <v>163</v>
      </c>
      <c r="BL10" s="12" t="s">
        <v>847</v>
      </c>
      <c r="BM10" s="12" t="s">
        <v>164</v>
      </c>
      <c r="BN10" s="12" t="s">
        <v>956</v>
      </c>
      <c r="BO10" s="35" t="s">
        <v>163</v>
      </c>
      <c r="BP10" s="35" t="s">
        <v>164</v>
      </c>
      <c r="BQ10" s="35" t="s">
        <v>164</v>
      </c>
      <c r="BR10" s="35" t="s">
        <v>163</v>
      </c>
      <c r="BS10" s="12" t="s">
        <v>593</v>
      </c>
      <c r="BT10" s="35" t="s">
        <v>163</v>
      </c>
      <c r="BU10" s="35" t="s">
        <v>594</v>
      </c>
      <c r="BV10" s="35" t="s">
        <v>164</v>
      </c>
      <c r="BX10" s="35" t="s">
        <v>164</v>
      </c>
      <c r="BY10" s="35" t="s">
        <v>164</v>
      </c>
      <c r="CA10" s="35" t="s">
        <v>164</v>
      </c>
      <c r="CB10" s="35" t="s">
        <v>164</v>
      </c>
      <c r="CC10" s="35" t="s">
        <v>163</v>
      </c>
      <c r="CD10" s="35" t="s">
        <v>164</v>
      </c>
      <c r="CE10" s="12" t="s">
        <v>164</v>
      </c>
      <c r="CF10" s="12" t="s">
        <v>164</v>
      </c>
      <c r="CG10" s="35" t="s">
        <v>164</v>
      </c>
      <c r="CI10" s="35" t="s">
        <v>163</v>
      </c>
      <c r="CJ10" s="35" t="s">
        <v>957</v>
      </c>
      <c r="CK10" s="35" t="s">
        <v>958</v>
      </c>
      <c r="CL10" s="35" t="s">
        <v>959</v>
      </c>
      <c r="CM10" s="12" t="s">
        <v>163</v>
      </c>
      <c r="CN10" s="12" t="s">
        <v>163</v>
      </c>
      <c r="CO10" s="12" t="s">
        <v>960</v>
      </c>
      <c r="CP10" s="49">
        <v>2000</v>
      </c>
      <c r="CQ10" s="12" t="s">
        <v>163</v>
      </c>
      <c r="CR10" s="12" t="s">
        <v>751</v>
      </c>
      <c r="CS10" s="12" t="s">
        <v>961</v>
      </c>
      <c r="CT10" s="12" t="s">
        <v>751</v>
      </c>
      <c r="CU10" s="12" t="s">
        <v>962</v>
      </c>
      <c r="CV10" s="12" t="s">
        <v>751</v>
      </c>
      <c r="CW10" s="12" t="s">
        <v>963</v>
      </c>
      <c r="CX10" s="12" t="s">
        <v>166</v>
      </c>
      <c r="CY10" s="12" t="s">
        <v>964</v>
      </c>
      <c r="CZ10" s="12" t="s">
        <v>841</v>
      </c>
      <c r="DA10" s="12" t="s">
        <v>841</v>
      </c>
      <c r="DB10" s="12" t="s">
        <v>838</v>
      </c>
    </row>
    <row r="11" spans="1:106" ht="12.75">
      <c r="A11" s="34" t="s">
        <v>142</v>
      </c>
      <c r="B11" s="12" t="s">
        <v>187</v>
      </c>
      <c r="C11" s="12" t="s">
        <v>343</v>
      </c>
      <c r="D11" s="34" t="s">
        <v>122</v>
      </c>
      <c r="E11" s="3">
        <v>1983</v>
      </c>
      <c r="F11" s="9">
        <v>15</v>
      </c>
      <c r="G11" s="9" t="s">
        <v>897</v>
      </c>
      <c r="I11" s="9" t="s">
        <v>190</v>
      </c>
      <c r="J11" s="9" t="s">
        <v>965</v>
      </c>
      <c r="K11" s="9" t="s">
        <v>838</v>
      </c>
      <c r="L11" s="9" t="s">
        <v>838</v>
      </c>
      <c r="M11" s="9" t="s">
        <v>838</v>
      </c>
      <c r="N11" s="9" t="s">
        <v>163</v>
      </c>
      <c r="O11" s="9">
        <v>2017</v>
      </c>
      <c r="P11" s="12" t="s">
        <v>966</v>
      </c>
      <c r="Q11" s="52">
        <v>250000</v>
      </c>
      <c r="R11" s="54">
        <f t="shared" si="0"/>
        <v>1</v>
      </c>
      <c r="S11" s="54">
        <v>0.1</v>
      </c>
      <c r="T11" s="54">
        <v>0.2</v>
      </c>
      <c r="U11" s="54">
        <v>0.3</v>
      </c>
      <c r="V11" s="54">
        <v>0.4</v>
      </c>
      <c r="W11" s="54">
        <v>0</v>
      </c>
      <c r="X11" s="54">
        <v>0</v>
      </c>
      <c r="Y11" s="50">
        <v>175</v>
      </c>
      <c r="Z11" s="24">
        <v>123</v>
      </c>
      <c r="AA11" s="24">
        <v>52</v>
      </c>
      <c r="AB11" s="50">
        <v>158</v>
      </c>
      <c r="AC11" s="50">
        <v>17</v>
      </c>
      <c r="AD11" s="24"/>
      <c r="AE11" s="24"/>
      <c r="AF11" s="51">
        <v>63</v>
      </c>
      <c r="AG11" s="51">
        <v>95</v>
      </c>
      <c r="AH11" s="12" t="s">
        <v>880</v>
      </c>
      <c r="AI11" s="12" t="s">
        <v>839</v>
      </c>
      <c r="AJ11" s="9">
        <v>3</v>
      </c>
      <c r="AL11" s="12" t="s">
        <v>163</v>
      </c>
      <c r="AM11" s="12" t="s">
        <v>163</v>
      </c>
      <c r="AN11" s="12" t="s">
        <v>163</v>
      </c>
      <c r="AO11" s="12" t="s">
        <v>163</v>
      </c>
      <c r="AP11" s="12" t="s">
        <v>163</v>
      </c>
      <c r="AQ11" s="12" t="s">
        <v>967</v>
      </c>
      <c r="AS11" s="12" t="s">
        <v>163</v>
      </c>
      <c r="AT11" s="12" t="s">
        <v>163</v>
      </c>
      <c r="AU11" s="12" t="s">
        <v>163</v>
      </c>
      <c r="AV11" s="12" t="s">
        <v>164</v>
      </c>
      <c r="AW11" s="12" t="s">
        <v>968</v>
      </c>
      <c r="AX11" s="48">
        <v>3000</v>
      </c>
      <c r="AY11" s="48">
        <v>5</v>
      </c>
      <c r="BA11" s="12" t="s">
        <v>163</v>
      </c>
      <c r="BB11" s="12" t="s">
        <v>164</v>
      </c>
      <c r="BC11" s="12" t="s">
        <v>163</v>
      </c>
      <c r="BD11" s="12" t="s">
        <v>163</v>
      </c>
      <c r="BE11" s="12"/>
      <c r="BG11" s="12" t="s">
        <v>396</v>
      </c>
      <c r="BH11" s="12" t="s">
        <v>969</v>
      </c>
      <c r="BI11" s="12" t="s">
        <v>163</v>
      </c>
      <c r="BJ11" s="12" t="s">
        <v>397</v>
      </c>
      <c r="BK11" s="12" t="s">
        <v>163</v>
      </c>
      <c r="BL11" s="12" t="s">
        <v>847</v>
      </c>
      <c r="BM11" s="12" t="s">
        <v>163</v>
      </c>
      <c r="BN11" s="12" t="s">
        <v>970</v>
      </c>
      <c r="BO11" s="12" t="s">
        <v>163</v>
      </c>
      <c r="BP11" s="12" t="s">
        <v>164</v>
      </c>
      <c r="BQ11" s="12" t="s">
        <v>163</v>
      </c>
      <c r="BR11" s="12" t="s">
        <v>163</v>
      </c>
      <c r="BS11" s="12" t="s">
        <v>595</v>
      </c>
      <c r="BT11" s="12" t="s">
        <v>163</v>
      </c>
      <c r="BU11" s="12" t="s">
        <v>596</v>
      </c>
      <c r="BV11" s="12" t="s">
        <v>163</v>
      </c>
      <c r="BW11" s="12" t="s">
        <v>597</v>
      </c>
      <c r="BX11" s="12" t="s">
        <v>164</v>
      </c>
      <c r="BY11" s="12" t="s">
        <v>163</v>
      </c>
      <c r="BZ11" s="12" t="s">
        <v>598</v>
      </c>
      <c r="CA11" s="12" t="s">
        <v>164</v>
      </c>
      <c r="CB11" s="12" t="s">
        <v>164</v>
      </c>
      <c r="CC11" s="12" t="s">
        <v>163</v>
      </c>
      <c r="CD11" s="12" t="s">
        <v>164</v>
      </c>
      <c r="CE11" s="12" t="s">
        <v>164</v>
      </c>
      <c r="CF11" s="12" t="s">
        <v>164</v>
      </c>
      <c r="CG11" s="12" t="s">
        <v>163</v>
      </c>
      <c r="CH11" s="12" t="s">
        <v>599</v>
      </c>
      <c r="CI11" s="12" t="s">
        <v>163</v>
      </c>
      <c r="CJ11" s="12" t="s">
        <v>971</v>
      </c>
      <c r="CK11" s="12" t="s">
        <v>916</v>
      </c>
      <c r="CL11" s="12" t="s">
        <v>917</v>
      </c>
      <c r="CM11" s="12" t="s">
        <v>163</v>
      </c>
      <c r="CN11" s="12" t="s">
        <v>163</v>
      </c>
      <c r="CO11" s="12" t="s">
        <v>918</v>
      </c>
      <c r="CP11" s="55">
        <v>10000</v>
      </c>
      <c r="CQ11" s="12" t="s">
        <v>164</v>
      </c>
      <c r="CR11" s="12" t="s">
        <v>749</v>
      </c>
      <c r="CS11" s="12" t="s">
        <v>919</v>
      </c>
      <c r="CT11" s="12" t="s">
        <v>749</v>
      </c>
      <c r="CU11" s="12" t="s">
        <v>976</v>
      </c>
      <c r="CV11" s="12" t="s">
        <v>751</v>
      </c>
      <c r="CW11" s="12" t="s">
        <v>977</v>
      </c>
      <c r="CX11" s="12" t="s">
        <v>749</v>
      </c>
      <c r="CY11" s="12" t="s">
        <v>978</v>
      </c>
      <c r="CZ11" s="12" t="s">
        <v>841</v>
      </c>
      <c r="DA11" s="12" t="s">
        <v>841</v>
      </c>
      <c r="DB11" s="12" t="s">
        <v>839</v>
      </c>
    </row>
    <row r="12" spans="1:106" ht="12.75">
      <c r="A12" s="34" t="s">
        <v>143</v>
      </c>
      <c r="B12" s="12" t="s">
        <v>355</v>
      </c>
      <c r="C12" s="12" t="s">
        <v>437</v>
      </c>
      <c r="D12" s="34" t="s">
        <v>123</v>
      </c>
      <c r="E12" s="3">
        <v>2004</v>
      </c>
      <c r="F12" s="9">
        <v>10</v>
      </c>
      <c r="G12" s="9" t="s">
        <v>897</v>
      </c>
      <c r="I12" s="9" t="s">
        <v>979</v>
      </c>
      <c r="J12" s="9" t="s">
        <v>980</v>
      </c>
      <c r="K12" s="9" t="s">
        <v>841</v>
      </c>
      <c r="L12" s="9" t="s">
        <v>837</v>
      </c>
      <c r="M12" s="9" t="s">
        <v>841</v>
      </c>
      <c r="N12" s="9" t="s">
        <v>163</v>
      </c>
      <c r="O12" s="9">
        <v>2016</v>
      </c>
      <c r="P12" s="9" t="s">
        <v>981</v>
      </c>
      <c r="Q12" s="52">
        <v>183000</v>
      </c>
      <c r="R12" s="54">
        <f t="shared" si="0"/>
        <v>1</v>
      </c>
      <c r="S12" s="54">
        <v>0</v>
      </c>
      <c r="T12" s="54">
        <v>0.01</v>
      </c>
      <c r="U12" s="54">
        <v>0</v>
      </c>
      <c r="V12" s="54">
        <v>0.7</v>
      </c>
      <c r="W12" s="54">
        <v>0</v>
      </c>
      <c r="X12" s="54">
        <v>0.29</v>
      </c>
      <c r="Y12" s="50">
        <v>65</v>
      </c>
      <c r="Z12" s="50">
        <v>60</v>
      </c>
      <c r="AA12" s="50">
        <v>5</v>
      </c>
      <c r="AB12" s="24">
        <v>50</v>
      </c>
      <c r="AC12" s="24">
        <v>15</v>
      </c>
      <c r="AD12" s="24"/>
      <c r="AE12" s="24"/>
      <c r="AF12" s="30">
        <v>45</v>
      </c>
      <c r="AG12" s="24">
        <v>5</v>
      </c>
      <c r="AH12" s="12" t="s">
        <v>864</v>
      </c>
      <c r="AI12" s="12" t="s">
        <v>839</v>
      </c>
      <c r="AJ12" s="9">
        <v>5</v>
      </c>
      <c r="AL12" s="12" t="s">
        <v>163</v>
      </c>
      <c r="AM12" s="12" t="s">
        <v>163</v>
      </c>
      <c r="AN12" s="12" t="s">
        <v>163</v>
      </c>
      <c r="AO12" s="12" t="s">
        <v>163</v>
      </c>
      <c r="AP12" s="12" t="s">
        <v>164</v>
      </c>
      <c r="AS12" s="12" t="s">
        <v>164</v>
      </c>
      <c r="AT12" s="12" t="s">
        <v>163</v>
      </c>
      <c r="AU12" s="12" t="s">
        <v>163</v>
      </c>
      <c r="AV12" s="9" t="s">
        <v>164</v>
      </c>
      <c r="AX12" s="48">
        <v>100</v>
      </c>
      <c r="AY12" s="48">
        <v>25</v>
      </c>
      <c r="BA12" s="12" t="s">
        <v>163</v>
      </c>
      <c r="BB12" s="12" t="s">
        <v>163</v>
      </c>
      <c r="BC12" s="12" t="s">
        <v>163</v>
      </c>
      <c r="BD12" s="12" t="s">
        <v>163</v>
      </c>
      <c r="BG12" s="36" t="s">
        <v>398</v>
      </c>
      <c r="BH12" s="12" t="s">
        <v>164</v>
      </c>
      <c r="BI12" s="12" t="s">
        <v>164</v>
      </c>
      <c r="BJ12" s="12" t="s">
        <v>164</v>
      </c>
      <c r="BK12" s="12" t="s">
        <v>163</v>
      </c>
      <c r="BL12" s="12" t="s">
        <v>847</v>
      </c>
      <c r="BM12" s="12" t="s">
        <v>163</v>
      </c>
      <c r="BN12" s="12" t="s">
        <v>982</v>
      </c>
      <c r="BO12" s="12" t="s">
        <v>163</v>
      </c>
      <c r="BP12" s="12" t="s">
        <v>163</v>
      </c>
      <c r="BQ12" s="12" t="s">
        <v>164</v>
      </c>
      <c r="BR12" s="12" t="s">
        <v>163</v>
      </c>
      <c r="BS12" s="12" t="s">
        <v>642</v>
      </c>
      <c r="BT12" s="12" t="s">
        <v>163</v>
      </c>
      <c r="BU12" s="12" t="s">
        <v>643</v>
      </c>
      <c r="BV12" s="12" t="s">
        <v>163</v>
      </c>
      <c r="BW12" s="12" t="s">
        <v>644</v>
      </c>
      <c r="BX12" s="12" t="s">
        <v>164</v>
      </c>
      <c r="BY12" s="12" t="s">
        <v>163</v>
      </c>
      <c r="BZ12" s="12" t="s">
        <v>645</v>
      </c>
      <c r="CA12" s="12" t="s">
        <v>164</v>
      </c>
      <c r="CB12" s="12" t="s">
        <v>164</v>
      </c>
      <c r="CC12" s="12" t="s">
        <v>164</v>
      </c>
      <c r="CD12" s="12" t="s">
        <v>164</v>
      </c>
      <c r="CE12" s="12" t="s">
        <v>164</v>
      </c>
      <c r="CF12" s="12" t="s">
        <v>164</v>
      </c>
      <c r="CG12" s="35" t="s">
        <v>164</v>
      </c>
      <c r="CI12" s="12" t="s">
        <v>163</v>
      </c>
      <c r="CJ12" s="12" t="s">
        <v>983</v>
      </c>
      <c r="CK12" s="12" t="s">
        <v>984</v>
      </c>
      <c r="CL12" s="12" t="s">
        <v>985</v>
      </c>
      <c r="CM12" s="12" t="s">
        <v>163</v>
      </c>
      <c r="CN12" s="12" t="s">
        <v>163</v>
      </c>
      <c r="CO12" s="12" t="s">
        <v>986</v>
      </c>
      <c r="CP12" s="49">
        <v>0.05</v>
      </c>
      <c r="CQ12" s="12" t="s">
        <v>164</v>
      </c>
      <c r="CR12" s="12" t="s">
        <v>749</v>
      </c>
      <c r="CS12" s="12" t="s">
        <v>987</v>
      </c>
      <c r="CT12" s="12" t="s">
        <v>749</v>
      </c>
      <c r="CU12" s="12" t="s">
        <v>988</v>
      </c>
      <c r="CV12" s="12" t="s">
        <v>749</v>
      </c>
      <c r="CW12" s="12" t="s">
        <v>989</v>
      </c>
      <c r="CX12" s="12" t="s">
        <v>749</v>
      </c>
      <c r="CY12" s="12" t="s">
        <v>990</v>
      </c>
      <c r="CZ12" s="12" t="s">
        <v>841</v>
      </c>
      <c r="DA12" s="12" t="s">
        <v>838</v>
      </c>
      <c r="DB12" s="12" t="s">
        <v>838</v>
      </c>
    </row>
    <row r="13" spans="1:106" ht="12.75">
      <c r="A13" s="34" t="s">
        <v>143</v>
      </c>
      <c r="B13" s="34" t="s">
        <v>991</v>
      </c>
      <c r="C13" s="12" t="s">
        <v>287</v>
      </c>
      <c r="D13" s="34" t="s">
        <v>123</v>
      </c>
      <c r="E13" s="3">
        <v>2007</v>
      </c>
      <c r="F13" s="9">
        <v>18</v>
      </c>
      <c r="G13" s="9" t="s">
        <v>431</v>
      </c>
      <c r="H13" s="9" t="s">
        <v>431</v>
      </c>
      <c r="I13" s="9" t="s">
        <v>431</v>
      </c>
      <c r="J13" s="9" t="s">
        <v>992</v>
      </c>
      <c r="K13" s="9" t="s">
        <v>838</v>
      </c>
      <c r="L13" s="9" t="s">
        <v>837</v>
      </c>
      <c r="M13" s="9" t="s">
        <v>841</v>
      </c>
      <c r="N13" s="9" t="s">
        <v>430</v>
      </c>
      <c r="O13" s="9" t="s">
        <v>993</v>
      </c>
      <c r="Q13" s="52" t="s">
        <v>994</v>
      </c>
      <c r="S13" s="73" t="s">
        <v>995</v>
      </c>
      <c r="T13" s="41">
        <v>0</v>
      </c>
      <c r="U13" s="9" t="s">
        <v>996</v>
      </c>
      <c r="V13" s="9" t="s">
        <v>997</v>
      </c>
      <c r="W13" s="9" t="s">
        <v>998</v>
      </c>
      <c r="X13" s="9" t="s">
        <v>999</v>
      </c>
      <c r="Y13" s="9">
        <v>70</v>
      </c>
      <c r="Z13" s="9">
        <v>55</v>
      </c>
      <c r="AA13" s="9">
        <v>15</v>
      </c>
      <c r="AB13" s="9">
        <v>35</v>
      </c>
      <c r="AC13" s="9">
        <v>20</v>
      </c>
      <c r="AF13" s="9">
        <v>35</v>
      </c>
      <c r="AG13" s="9">
        <v>0</v>
      </c>
      <c r="AH13" s="9" t="s">
        <v>864</v>
      </c>
      <c r="AI13" s="9" t="s">
        <v>839</v>
      </c>
      <c r="AJ13" s="9">
        <v>2</v>
      </c>
      <c r="AL13" s="35" t="s">
        <v>430</v>
      </c>
      <c r="AM13" s="35" t="s">
        <v>430</v>
      </c>
      <c r="AN13" s="35" t="s">
        <v>430</v>
      </c>
      <c r="AO13" s="35" t="s">
        <v>430</v>
      </c>
      <c r="AP13" s="35" t="s">
        <v>431</v>
      </c>
      <c r="AS13" s="9" t="s">
        <v>430</v>
      </c>
      <c r="AT13" s="35" t="s">
        <v>430</v>
      </c>
      <c r="AU13" s="35" t="s">
        <v>430</v>
      </c>
      <c r="AV13" s="35" t="s">
        <v>431</v>
      </c>
      <c r="AX13" s="48">
        <v>750</v>
      </c>
      <c r="AY13" s="48">
        <v>100</v>
      </c>
      <c r="BA13" s="9" t="s">
        <v>163</v>
      </c>
      <c r="BB13" s="12" t="s">
        <v>164</v>
      </c>
      <c r="BC13" s="9" t="s">
        <v>164</v>
      </c>
      <c r="BD13" s="9" t="s">
        <v>163</v>
      </c>
      <c r="BG13" s="9" t="s">
        <v>1000</v>
      </c>
      <c r="BH13" s="9" t="s">
        <v>164</v>
      </c>
      <c r="BI13" s="35" t="s">
        <v>163</v>
      </c>
      <c r="BJ13" s="12" t="s">
        <v>1001</v>
      </c>
      <c r="BK13" s="12" t="s">
        <v>164</v>
      </c>
      <c r="BL13" s="12" t="s">
        <v>399</v>
      </c>
      <c r="BM13" s="12" t="s">
        <v>163</v>
      </c>
      <c r="BN13" s="12" t="s">
        <v>943</v>
      </c>
      <c r="BO13" s="12" t="s">
        <v>163</v>
      </c>
      <c r="BP13" s="12" t="s">
        <v>944</v>
      </c>
      <c r="BQ13" s="12" t="s">
        <v>431</v>
      </c>
      <c r="BR13" s="12" t="s">
        <v>163</v>
      </c>
      <c r="BS13" s="12" t="s">
        <v>609</v>
      </c>
      <c r="BT13" s="12" t="s">
        <v>163</v>
      </c>
      <c r="BU13" s="12" t="s">
        <v>610</v>
      </c>
      <c r="BV13" s="12" t="s">
        <v>163</v>
      </c>
      <c r="BW13" s="12" t="s">
        <v>611</v>
      </c>
      <c r="BX13" s="12" t="s">
        <v>163</v>
      </c>
      <c r="BY13" s="12" t="s">
        <v>164</v>
      </c>
      <c r="CA13" s="35" t="s">
        <v>164</v>
      </c>
      <c r="CB13" s="35" t="s">
        <v>164</v>
      </c>
      <c r="CC13" s="35" t="s">
        <v>431</v>
      </c>
      <c r="CD13" s="35" t="s">
        <v>431</v>
      </c>
      <c r="CE13" s="35" t="s">
        <v>431</v>
      </c>
      <c r="CF13" s="35" t="s">
        <v>431</v>
      </c>
      <c r="CG13" s="35" t="s">
        <v>431</v>
      </c>
      <c r="CH13" s="35" t="s">
        <v>431</v>
      </c>
      <c r="CI13" s="35" t="s">
        <v>163</v>
      </c>
      <c r="CJ13" s="35" t="s">
        <v>945</v>
      </c>
      <c r="CK13" s="35" t="s">
        <v>946</v>
      </c>
      <c r="CL13" s="35" t="s">
        <v>947</v>
      </c>
      <c r="CM13" s="35" t="s">
        <v>993</v>
      </c>
      <c r="CN13" s="35" t="s">
        <v>993</v>
      </c>
      <c r="CO13" s="35" t="s">
        <v>993</v>
      </c>
      <c r="CP13" s="49" t="s">
        <v>948</v>
      </c>
      <c r="CQ13" s="35" t="s">
        <v>430</v>
      </c>
      <c r="CR13" s="35" t="s">
        <v>751</v>
      </c>
      <c r="CS13" s="35" t="s">
        <v>949</v>
      </c>
      <c r="CT13" s="9" t="s">
        <v>950</v>
      </c>
      <c r="CU13" s="9" t="s">
        <v>993</v>
      </c>
      <c r="CV13" s="9" t="s">
        <v>751</v>
      </c>
      <c r="CW13" s="9" t="s">
        <v>951</v>
      </c>
      <c r="CX13" s="9" t="s">
        <v>993</v>
      </c>
      <c r="CY13" s="9" t="s">
        <v>950</v>
      </c>
      <c r="CZ13" s="9" t="s">
        <v>841</v>
      </c>
      <c r="DA13" s="9" t="s">
        <v>841</v>
      </c>
      <c r="DB13" s="9" t="s">
        <v>839</v>
      </c>
    </row>
    <row r="14" spans="1:106" ht="15.75" customHeight="1">
      <c r="A14" s="34" t="s">
        <v>144</v>
      </c>
      <c r="B14" s="12" t="s">
        <v>356</v>
      </c>
      <c r="C14" s="12" t="s">
        <v>438</v>
      </c>
      <c r="D14" s="34" t="s">
        <v>124</v>
      </c>
      <c r="E14" s="3">
        <v>2001</v>
      </c>
      <c r="F14" s="9">
        <v>15</v>
      </c>
      <c r="G14" s="9" t="s">
        <v>190</v>
      </c>
      <c r="H14" s="12"/>
      <c r="I14" s="9" t="s">
        <v>190</v>
      </c>
      <c r="K14" s="9" t="s">
        <v>841</v>
      </c>
      <c r="L14" s="9" t="s">
        <v>837</v>
      </c>
      <c r="M14" s="9" t="s">
        <v>841</v>
      </c>
      <c r="N14" s="12" t="s">
        <v>163</v>
      </c>
      <c r="O14" s="9" t="s">
        <v>772</v>
      </c>
      <c r="P14" s="43" t="s">
        <v>952</v>
      </c>
      <c r="Q14" s="52">
        <v>125000</v>
      </c>
      <c r="R14" s="54">
        <f aca="true" t="shared" si="1" ref="R14:R34">SUM(S14:X14)</f>
        <v>1</v>
      </c>
      <c r="S14" s="59">
        <v>0.1</v>
      </c>
      <c r="T14" s="59">
        <v>0</v>
      </c>
      <c r="U14" s="59">
        <v>0.23</v>
      </c>
      <c r="V14" s="59">
        <v>0.33</v>
      </c>
      <c r="W14" s="59">
        <v>0.24</v>
      </c>
      <c r="X14" s="59">
        <v>0.1</v>
      </c>
      <c r="Y14" s="53">
        <v>30</v>
      </c>
      <c r="Z14" s="53">
        <v>29</v>
      </c>
      <c r="AA14" s="50">
        <v>1</v>
      </c>
      <c r="AB14" s="24">
        <v>30</v>
      </c>
      <c r="AC14" s="24">
        <v>0</v>
      </c>
      <c r="AD14" s="24"/>
      <c r="AE14" s="24"/>
      <c r="AF14" s="24">
        <v>15</v>
      </c>
      <c r="AG14" s="24">
        <v>15</v>
      </c>
      <c r="AH14" s="12" t="s">
        <v>864</v>
      </c>
      <c r="AI14" s="12" t="s">
        <v>839</v>
      </c>
      <c r="AJ14" s="9">
        <v>1</v>
      </c>
      <c r="AK14" s="12"/>
      <c r="AL14" s="12" t="s">
        <v>163</v>
      </c>
      <c r="AM14" s="12" t="s">
        <v>163</v>
      </c>
      <c r="AN14" s="12" t="s">
        <v>163</v>
      </c>
      <c r="AO14" s="12" t="s">
        <v>164</v>
      </c>
      <c r="AP14" s="12" t="s">
        <v>163</v>
      </c>
      <c r="AQ14" s="12" t="s">
        <v>1008</v>
      </c>
      <c r="AT14" s="35" t="s">
        <v>163</v>
      </c>
      <c r="AU14" s="35" t="s">
        <v>163</v>
      </c>
      <c r="AV14" s="12" t="s">
        <v>164</v>
      </c>
      <c r="AX14" s="48">
        <v>500</v>
      </c>
      <c r="AY14" s="48">
        <v>100</v>
      </c>
      <c r="AZ14" s="12"/>
      <c r="BA14" s="12" t="s">
        <v>163</v>
      </c>
      <c r="BB14" s="12" t="s">
        <v>164</v>
      </c>
      <c r="BC14" s="12" t="s">
        <v>164</v>
      </c>
      <c r="BD14" s="12" t="s">
        <v>163</v>
      </c>
      <c r="BE14" s="12"/>
      <c r="BG14" s="12" t="s">
        <v>400</v>
      </c>
      <c r="BH14" s="12" t="s">
        <v>164</v>
      </c>
      <c r="BI14" s="12" t="s">
        <v>164</v>
      </c>
      <c r="BJ14" s="12" t="s">
        <v>164</v>
      </c>
      <c r="BK14" s="12" t="s">
        <v>164</v>
      </c>
      <c r="BL14" s="12" t="s">
        <v>847</v>
      </c>
      <c r="BM14" s="12" t="s">
        <v>163</v>
      </c>
      <c r="BN14" s="12" t="s">
        <v>1009</v>
      </c>
      <c r="BO14" s="12" t="s">
        <v>164</v>
      </c>
      <c r="BP14" s="12" t="s">
        <v>164</v>
      </c>
      <c r="BQ14" s="12" t="s">
        <v>163</v>
      </c>
      <c r="BR14" s="12" t="s">
        <v>163</v>
      </c>
      <c r="BS14" s="12" t="s">
        <v>555</v>
      </c>
      <c r="BT14" s="12" t="s">
        <v>163</v>
      </c>
      <c r="BU14" s="12" t="s">
        <v>556</v>
      </c>
      <c r="BV14" s="12" t="s">
        <v>163</v>
      </c>
      <c r="BW14" s="12" t="s">
        <v>557</v>
      </c>
      <c r="BX14" s="12" t="s">
        <v>163</v>
      </c>
      <c r="BY14" s="12" t="s">
        <v>164</v>
      </c>
      <c r="CA14" s="12" t="s">
        <v>164</v>
      </c>
      <c r="CB14" s="12" t="s">
        <v>164</v>
      </c>
      <c r="CC14" s="12" t="s">
        <v>163</v>
      </c>
      <c r="CD14" s="12" t="s">
        <v>164</v>
      </c>
      <c r="CE14" s="12" t="s">
        <v>163</v>
      </c>
      <c r="CF14" s="12" t="s">
        <v>164</v>
      </c>
      <c r="CG14" s="35" t="s">
        <v>164</v>
      </c>
      <c r="CI14" s="12" t="s">
        <v>164</v>
      </c>
      <c r="CK14" s="12" t="s">
        <v>316</v>
      </c>
      <c r="CL14" s="12" t="s">
        <v>1010</v>
      </c>
      <c r="CM14" s="12" t="s">
        <v>163</v>
      </c>
      <c r="CN14" s="12" t="s">
        <v>163</v>
      </c>
      <c r="CO14" s="12" t="s">
        <v>1010</v>
      </c>
      <c r="CP14" s="49">
        <v>500</v>
      </c>
      <c r="CQ14" s="12" t="s">
        <v>164</v>
      </c>
      <c r="CR14" s="12" t="s">
        <v>749</v>
      </c>
      <c r="CS14" s="12" t="s">
        <v>1011</v>
      </c>
      <c r="CT14" s="12" t="s">
        <v>749</v>
      </c>
      <c r="CU14" s="12" t="s">
        <v>1012</v>
      </c>
      <c r="CV14" s="12" t="s">
        <v>749</v>
      </c>
      <c r="CW14" s="12" t="s">
        <v>1013</v>
      </c>
      <c r="CX14" s="12" t="s">
        <v>749</v>
      </c>
      <c r="CY14" s="12" t="s">
        <v>1014</v>
      </c>
      <c r="CZ14" s="12" t="s">
        <v>841</v>
      </c>
      <c r="DA14" s="12" t="s">
        <v>837</v>
      </c>
      <c r="DB14" s="12" t="s">
        <v>837</v>
      </c>
    </row>
    <row r="15" spans="1:106" ht="12.75" customHeight="1">
      <c r="A15" s="34" t="s">
        <v>153</v>
      </c>
      <c r="B15" s="12" t="s">
        <v>326</v>
      </c>
      <c r="C15" s="12" t="s">
        <v>444</v>
      </c>
      <c r="D15" s="34" t="s">
        <v>125</v>
      </c>
      <c r="E15" s="12">
        <v>1977</v>
      </c>
      <c r="F15" s="9">
        <v>9</v>
      </c>
      <c r="G15" s="9" t="s">
        <v>835</v>
      </c>
      <c r="I15" s="9" t="s">
        <v>856</v>
      </c>
      <c r="J15" s="9" t="s">
        <v>1015</v>
      </c>
      <c r="K15" s="9" t="s">
        <v>838</v>
      </c>
      <c r="L15" s="9" t="s">
        <v>838</v>
      </c>
      <c r="M15" s="9" t="s">
        <v>841</v>
      </c>
      <c r="N15" s="9" t="s">
        <v>163</v>
      </c>
      <c r="O15" s="9">
        <v>2014</v>
      </c>
      <c r="P15" s="9" t="s">
        <v>1016</v>
      </c>
      <c r="Q15" s="52">
        <v>700000</v>
      </c>
      <c r="R15" s="73">
        <f t="shared" si="1"/>
        <v>1</v>
      </c>
      <c r="S15" s="54">
        <v>0.05</v>
      </c>
      <c r="T15" s="54">
        <v>0.1</v>
      </c>
      <c r="U15" s="54">
        <v>0.5</v>
      </c>
      <c r="V15" s="54">
        <v>0.3</v>
      </c>
      <c r="W15" s="54">
        <v>0.05</v>
      </c>
      <c r="X15" s="48">
        <v>0</v>
      </c>
      <c r="Y15" s="51">
        <v>40</v>
      </c>
      <c r="Z15" s="51">
        <v>40</v>
      </c>
      <c r="AA15" s="50">
        <v>0</v>
      </c>
      <c r="AB15" s="50">
        <v>40</v>
      </c>
      <c r="AC15" s="50">
        <v>0</v>
      </c>
      <c r="AD15" s="50"/>
      <c r="AE15" s="50"/>
      <c r="AF15" s="50">
        <v>30</v>
      </c>
      <c r="AG15" s="50">
        <v>10</v>
      </c>
      <c r="AH15" s="9" t="s">
        <v>839</v>
      </c>
      <c r="AI15" s="9" t="s">
        <v>839</v>
      </c>
      <c r="AJ15" s="24">
        <v>3</v>
      </c>
      <c r="AL15" s="9" t="s">
        <v>163</v>
      </c>
      <c r="AM15" s="12" t="s">
        <v>163</v>
      </c>
      <c r="AN15" s="12" t="s">
        <v>163</v>
      </c>
      <c r="AO15" s="12" t="s">
        <v>163</v>
      </c>
      <c r="AP15" s="12" t="s">
        <v>163</v>
      </c>
      <c r="AQ15" s="9" t="s">
        <v>1017</v>
      </c>
      <c r="AS15" s="35" t="s">
        <v>164</v>
      </c>
      <c r="AT15" s="35" t="s">
        <v>164</v>
      </c>
      <c r="AU15" s="35" t="s">
        <v>164</v>
      </c>
      <c r="AV15" s="12" t="s">
        <v>163</v>
      </c>
      <c r="AW15" s="12" t="s">
        <v>1018</v>
      </c>
      <c r="AX15" s="48">
        <v>200</v>
      </c>
      <c r="AY15" s="48">
        <v>200</v>
      </c>
      <c r="BA15" s="9" t="s">
        <v>163</v>
      </c>
      <c r="BB15" s="9" t="s">
        <v>163</v>
      </c>
      <c r="BC15" s="9" t="s">
        <v>164</v>
      </c>
      <c r="BD15" s="9" t="s">
        <v>1019</v>
      </c>
      <c r="BG15" s="36" t="s">
        <v>1020</v>
      </c>
      <c r="BH15" s="12" t="s">
        <v>1021</v>
      </c>
      <c r="BI15" s="9" t="s">
        <v>164</v>
      </c>
      <c r="BJ15" s="9" t="s">
        <v>164</v>
      </c>
      <c r="BK15" s="9" t="s">
        <v>164</v>
      </c>
      <c r="BL15" s="12" t="s">
        <v>847</v>
      </c>
      <c r="BM15" s="9" t="s">
        <v>163</v>
      </c>
      <c r="BN15" s="12" t="s">
        <v>1022</v>
      </c>
      <c r="BO15" s="9" t="s">
        <v>163</v>
      </c>
      <c r="BP15" s="9" t="s">
        <v>163</v>
      </c>
      <c r="BQ15" s="9" t="s">
        <v>163</v>
      </c>
      <c r="BR15" s="9" t="s">
        <v>163</v>
      </c>
      <c r="BS15" s="12" t="s">
        <v>558</v>
      </c>
      <c r="BT15" s="9" t="s">
        <v>163</v>
      </c>
      <c r="BU15" s="9" t="s">
        <v>559</v>
      </c>
      <c r="BV15" s="9" t="s">
        <v>163</v>
      </c>
      <c r="BW15" s="12" t="s">
        <v>560</v>
      </c>
      <c r="BX15" s="9" t="s">
        <v>163</v>
      </c>
      <c r="BY15" s="9" t="s">
        <v>163</v>
      </c>
      <c r="BZ15" s="9" t="s">
        <v>561</v>
      </c>
      <c r="CA15" s="9" t="s">
        <v>164</v>
      </c>
      <c r="CB15" s="9" t="s">
        <v>164</v>
      </c>
      <c r="CC15" s="9" t="s">
        <v>164</v>
      </c>
      <c r="CD15" s="12" t="s">
        <v>164</v>
      </c>
      <c r="CE15" s="9" t="s">
        <v>164</v>
      </c>
      <c r="CF15" s="9" t="s">
        <v>164</v>
      </c>
      <c r="CG15" s="9" t="s">
        <v>163</v>
      </c>
      <c r="CH15" s="12" t="s">
        <v>562</v>
      </c>
      <c r="CI15" s="9" t="s">
        <v>164</v>
      </c>
      <c r="CL15" s="9" t="s">
        <v>1023</v>
      </c>
      <c r="CM15" s="9" t="s">
        <v>163</v>
      </c>
      <c r="CN15" s="9" t="s">
        <v>163</v>
      </c>
      <c r="CO15" s="9" t="s">
        <v>1024</v>
      </c>
      <c r="CP15" s="55">
        <v>9000</v>
      </c>
      <c r="CQ15" s="9" t="s">
        <v>163</v>
      </c>
      <c r="CR15" s="9" t="s">
        <v>749</v>
      </c>
      <c r="CS15" s="12" t="s">
        <v>1025</v>
      </c>
      <c r="CT15" s="9" t="s">
        <v>749</v>
      </c>
      <c r="CU15" s="12" t="s">
        <v>1026</v>
      </c>
      <c r="CV15" s="9" t="s">
        <v>749</v>
      </c>
      <c r="CW15" s="35" t="s">
        <v>1027</v>
      </c>
      <c r="CX15" s="9" t="s">
        <v>749</v>
      </c>
      <c r="CY15" s="35" t="s">
        <v>1027</v>
      </c>
      <c r="CZ15" s="9" t="s">
        <v>837</v>
      </c>
      <c r="DA15" s="9" t="s">
        <v>841</v>
      </c>
      <c r="DB15" s="9" t="s">
        <v>838</v>
      </c>
    </row>
    <row r="16" spans="1:106" ht="12.75">
      <c r="A16" s="34" t="s">
        <v>153</v>
      </c>
      <c r="B16" s="3" t="s">
        <v>177</v>
      </c>
      <c r="C16" s="12" t="s">
        <v>446</v>
      </c>
      <c r="D16" s="34" t="s">
        <v>125</v>
      </c>
      <c r="E16" s="3">
        <v>1986</v>
      </c>
      <c r="F16" s="9">
        <v>13</v>
      </c>
      <c r="G16" s="9" t="s">
        <v>897</v>
      </c>
      <c r="I16" s="9" t="s">
        <v>190</v>
      </c>
      <c r="J16" s="9" t="s">
        <v>1028</v>
      </c>
      <c r="K16" s="9" t="s">
        <v>841</v>
      </c>
      <c r="L16" s="9" t="s">
        <v>838</v>
      </c>
      <c r="M16" s="9" t="s">
        <v>841</v>
      </c>
      <c r="N16" s="9" t="s">
        <v>163</v>
      </c>
      <c r="O16" s="9">
        <v>2015</v>
      </c>
      <c r="P16" s="9" t="s">
        <v>1029</v>
      </c>
      <c r="Q16" s="52">
        <v>1100000</v>
      </c>
      <c r="R16" s="54">
        <f t="shared" si="1"/>
        <v>1</v>
      </c>
      <c r="S16" s="59">
        <v>0.02</v>
      </c>
      <c r="T16" s="59">
        <v>0.43</v>
      </c>
      <c r="U16" s="59">
        <v>0.2</v>
      </c>
      <c r="V16" s="59">
        <v>0.08</v>
      </c>
      <c r="W16" s="59">
        <v>0.25</v>
      </c>
      <c r="X16" s="59">
        <v>0.02</v>
      </c>
      <c r="Y16" s="53">
        <v>165</v>
      </c>
      <c r="Z16" s="53">
        <v>165</v>
      </c>
      <c r="AA16" s="53">
        <v>0</v>
      </c>
      <c r="AB16" s="50">
        <v>164</v>
      </c>
      <c r="AC16" s="50">
        <v>1</v>
      </c>
      <c r="AD16" s="24"/>
      <c r="AE16" s="24"/>
      <c r="AF16" s="51">
        <v>157</v>
      </c>
      <c r="AG16" s="51">
        <v>7</v>
      </c>
      <c r="AH16" s="9" t="s">
        <v>864</v>
      </c>
      <c r="AI16" s="12" t="s">
        <v>839</v>
      </c>
      <c r="AJ16" s="9">
        <v>2</v>
      </c>
      <c r="AL16" s="12" t="s">
        <v>164</v>
      </c>
      <c r="AM16" s="12" t="s">
        <v>163</v>
      </c>
      <c r="AN16" s="12" t="s">
        <v>163</v>
      </c>
      <c r="AO16" s="12" t="s">
        <v>163</v>
      </c>
      <c r="AP16" s="12" t="s">
        <v>164</v>
      </c>
      <c r="AS16" s="35" t="s">
        <v>163</v>
      </c>
      <c r="AT16" s="35" t="s">
        <v>164</v>
      </c>
      <c r="AU16" s="12" t="s">
        <v>163</v>
      </c>
      <c r="AV16" s="12" t="s">
        <v>164</v>
      </c>
      <c r="AX16" s="48">
        <v>1000</v>
      </c>
      <c r="AY16" s="48">
        <v>35</v>
      </c>
      <c r="BA16" s="12" t="s">
        <v>163</v>
      </c>
      <c r="BB16" s="12" t="s">
        <v>163</v>
      </c>
      <c r="BC16" s="12" t="s">
        <v>164</v>
      </c>
      <c r="BD16" s="12" t="s">
        <v>163</v>
      </c>
      <c r="BE16" s="12" t="s">
        <v>481</v>
      </c>
      <c r="BG16" s="36" t="s">
        <v>401</v>
      </c>
      <c r="BH16" s="9" t="s">
        <v>1030</v>
      </c>
      <c r="BI16" s="12" t="s">
        <v>163</v>
      </c>
      <c r="BJ16" s="12" t="s">
        <v>164</v>
      </c>
      <c r="BK16" s="9" t="s">
        <v>163</v>
      </c>
      <c r="BL16" s="12" t="s">
        <v>402</v>
      </c>
      <c r="BM16" s="35" t="s">
        <v>163</v>
      </c>
      <c r="BN16" s="12" t="s">
        <v>972</v>
      </c>
      <c r="BO16" s="9" t="s">
        <v>163</v>
      </c>
      <c r="BP16" s="12" t="s">
        <v>163</v>
      </c>
      <c r="BQ16" s="12" t="s">
        <v>973</v>
      </c>
      <c r="BR16" s="12" t="s">
        <v>163</v>
      </c>
      <c r="BS16" s="12" t="s">
        <v>563</v>
      </c>
      <c r="BT16" s="12" t="s">
        <v>163</v>
      </c>
      <c r="BU16" s="12" t="s">
        <v>617</v>
      </c>
      <c r="BV16" s="9" t="s">
        <v>163</v>
      </c>
      <c r="BW16" s="12" t="s">
        <v>618</v>
      </c>
      <c r="BX16" s="12" t="s">
        <v>163</v>
      </c>
      <c r="BY16" s="12" t="s">
        <v>163</v>
      </c>
      <c r="BZ16" s="12" t="s">
        <v>619</v>
      </c>
      <c r="CA16" s="9" t="s">
        <v>164</v>
      </c>
      <c r="CB16" s="9" t="s">
        <v>164</v>
      </c>
      <c r="CC16" s="12" t="s">
        <v>163</v>
      </c>
      <c r="CD16" s="12" t="s">
        <v>163</v>
      </c>
      <c r="CE16" s="12" t="s">
        <v>163</v>
      </c>
      <c r="CF16" s="12" t="s">
        <v>164</v>
      </c>
      <c r="CG16" s="12" t="s">
        <v>163</v>
      </c>
      <c r="CH16" s="12" t="s">
        <v>620</v>
      </c>
      <c r="CI16" s="9" t="s">
        <v>163</v>
      </c>
      <c r="CJ16" s="12" t="s">
        <v>974</v>
      </c>
      <c r="CK16" s="12" t="s">
        <v>975</v>
      </c>
      <c r="CL16" s="12" t="s">
        <v>1031</v>
      </c>
      <c r="CM16" s="12" t="s">
        <v>163</v>
      </c>
      <c r="CN16" s="12" t="s">
        <v>163</v>
      </c>
      <c r="CO16" s="12" t="s">
        <v>1032</v>
      </c>
      <c r="CP16" s="49">
        <v>15000</v>
      </c>
      <c r="CQ16" s="12" t="s">
        <v>163</v>
      </c>
      <c r="CR16" s="12" t="s">
        <v>1033</v>
      </c>
      <c r="CS16" s="12" t="s">
        <v>1034</v>
      </c>
      <c r="CT16" s="12" t="s">
        <v>749</v>
      </c>
      <c r="CU16" s="12" t="s">
        <v>1035</v>
      </c>
      <c r="CV16" s="12" t="s">
        <v>751</v>
      </c>
      <c r="CW16" s="12" t="s">
        <v>1036</v>
      </c>
      <c r="CX16" s="12" t="s">
        <v>749</v>
      </c>
      <c r="CY16" s="12" t="s">
        <v>1037</v>
      </c>
      <c r="CZ16" s="12" t="s">
        <v>841</v>
      </c>
      <c r="DA16" s="12" t="s">
        <v>838</v>
      </c>
      <c r="DB16" s="12" t="s">
        <v>838</v>
      </c>
    </row>
    <row r="17" spans="1:106" ht="12.75">
      <c r="A17" s="34" t="s">
        <v>139</v>
      </c>
      <c r="B17" s="12" t="s">
        <v>276</v>
      </c>
      <c r="C17" s="12" t="s">
        <v>551</v>
      </c>
      <c r="D17" s="34" t="s">
        <v>128</v>
      </c>
      <c r="E17" s="3">
        <v>1986</v>
      </c>
      <c r="F17" s="9">
        <v>16</v>
      </c>
      <c r="G17" s="9" t="s">
        <v>897</v>
      </c>
      <c r="I17" s="9" t="s">
        <v>1038</v>
      </c>
      <c r="J17" s="9" t="s">
        <v>1039</v>
      </c>
      <c r="K17" s="9" t="s">
        <v>841</v>
      </c>
      <c r="L17" s="9" t="s">
        <v>841</v>
      </c>
      <c r="M17" s="9" t="s">
        <v>838</v>
      </c>
      <c r="N17" s="9" t="s">
        <v>163</v>
      </c>
      <c r="O17" s="9">
        <v>2014</v>
      </c>
      <c r="P17" s="35" t="s">
        <v>1047</v>
      </c>
      <c r="Q17" s="63">
        <v>740000</v>
      </c>
      <c r="R17" s="48">
        <f t="shared" si="1"/>
        <v>740000</v>
      </c>
      <c r="S17" s="48">
        <v>90000</v>
      </c>
      <c r="T17" s="48">
        <v>230000</v>
      </c>
      <c r="U17" s="48">
        <v>175000</v>
      </c>
      <c r="V17" s="48">
        <v>10000</v>
      </c>
      <c r="W17" s="48">
        <v>25000</v>
      </c>
      <c r="X17" s="48">
        <v>210000</v>
      </c>
      <c r="Y17" s="9">
        <v>220</v>
      </c>
      <c r="Z17" s="9">
        <v>220</v>
      </c>
      <c r="AA17" s="9">
        <v>0</v>
      </c>
      <c r="AB17" s="9">
        <v>145</v>
      </c>
      <c r="AC17" s="9">
        <v>75</v>
      </c>
      <c r="AF17" s="9">
        <v>72</v>
      </c>
      <c r="AG17" s="9">
        <v>73</v>
      </c>
      <c r="AH17" s="12" t="s">
        <v>864</v>
      </c>
      <c r="AI17" s="12" t="s">
        <v>841</v>
      </c>
      <c r="AJ17" s="9">
        <v>4</v>
      </c>
      <c r="AL17" s="12" t="s">
        <v>163</v>
      </c>
      <c r="AM17" s="12" t="s">
        <v>163</v>
      </c>
      <c r="AN17" s="12" t="s">
        <v>163</v>
      </c>
      <c r="AO17" s="12" t="s">
        <v>163</v>
      </c>
      <c r="AP17" s="12" t="s">
        <v>164</v>
      </c>
      <c r="AQ17" s="12" t="s">
        <v>1048</v>
      </c>
      <c r="AS17" s="12" t="s">
        <v>163</v>
      </c>
      <c r="AT17" s="12" t="s">
        <v>164</v>
      </c>
      <c r="AU17" s="12" t="s">
        <v>164</v>
      </c>
      <c r="AV17" s="35" t="s">
        <v>163</v>
      </c>
      <c r="AW17" s="12" t="s">
        <v>1049</v>
      </c>
      <c r="AX17" s="48">
        <v>1250</v>
      </c>
      <c r="AY17" s="48">
        <v>250</v>
      </c>
      <c r="BA17" s="12" t="s">
        <v>163</v>
      </c>
      <c r="BB17" s="12" t="s">
        <v>163</v>
      </c>
      <c r="BC17" s="12" t="s">
        <v>164</v>
      </c>
      <c r="BD17" s="12" t="s">
        <v>163</v>
      </c>
      <c r="BE17" s="12" t="s">
        <v>1002</v>
      </c>
      <c r="BH17" s="12" t="s">
        <v>1003</v>
      </c>
      <c r="BI17" s="12" t="s">
        <v>163</v>
      </c>
      <c r="BJ17" s="12" t="s">
        <v>499</v>
      </c>
      <c r="BK17" s="12" t="s">
        <v>164</v>
      </c>
      <c r="BL17" s="12" t="s">
        <v>500</v>
      </c>
      <c r="BM17" s="35" t="s">
        <v>163</v>
      </c>
      <c r="BN17" s="12" t="s">
        <v>1004</v>
      </c>
      <c r="BO17" s="12" t="s">
        <v>164</v>
      </c>
      <c r="BP17" s="12" t="s">
        <v>164</v>
      </c>
      <c r="BQ17" s="9" t="s">
        <v>163</v>
      </c>
      <c r="BR17" s="12" t="s">
        <v>163</v>
      </c>
      <c r="BS17" s="12" t="s">
        <v>621</v>
      </c>
      <c r="BT17" s="12" t="s">
        <v>163</v>
      </c>
      <c r="BU17" s="12" t="s">
        <v>622</v>
      </c>
      <c r="BV17" s="12" t="s">
        <v>164</v>
      </c>
      <c r="BX17" s="12" t="s">
        <v>163</v>
      </c>
      <c r="BY17" s="12" t="s">
        <v>163</v>
      </c>
      <c r="BZ17" s="12" t="s">
        <v>623</v>
      </c>
      <c r="CA17" s="12" t="s">
        <v>164</v>
      </c>
      <c r="CB17" s="12" t="s">
        <v>164</v>
      </c>
      <c r="CC17" s="12" t="s">
        <v>163</v>
      </c>
      <c r="CD17" s="12" t="s">
        <v>164</v>
      </c>
      <c r="CE17" s="12" t="s">
        <v>163</v>
      </c>
      <c r="CF17" s="12" t="s">
        <v>163</v>
      </c>
      <c r="CG17" s="12" t="s">
        <v>163</v>
      </c>
      <c r="CH17" s="12" t="s">
        <v>624</v>
      </c>
      <c r="CI17" s="12" t="s">
        <v>430</v>
      </c>
      <c r="CJ17" s="12" t="s">
        <v>1005</v>
      </c>
      <c r="CK17" s="12" t="s">
        <v>1006</v>
      </c>
      <c r="CL17" s="12" t="s">
        <v>1007</v>
      </c>
      <c r="CM17" s="12" t="s">
        <v>163</v>
      </c>
      <c r="CN17" s="12" t="s">
        <v>163</v>
      </c>
      <c r="CO17" s="12" t="s">
        <v>1053</v>
      </c>
      <c r="CP17" s="49">
        <v>5000</v>
      </c>
      <c r="CQ17" s="12" t="s">
        <v>164</v>
      </c>
      <c r="CR17" s="12" t="s">
        <v>749</v>
      </c>
      <c r="CS17" s="12" t="s">
        <v>1054</v>
      </c>
      <c r="CT17" s="12" t="s">
        <v>749</v>
      </c>
      <c r="CU17" s="12" t="s">
        <v>1055</v>
      </c>
      <c r="CV17" s="12" t="s">
        <v>749</v>
      </c>
      <c r="CW17" s="12" t="s">
        <v>1056</v>
      </c>
      <c r="CX17" s="12" t="s">
        <v>749</v>
      </c>
      <c r="CY17" s="12" t="s">
        <v>1057</v>
      </c>
      <c r="CZ17" s="12" t="s">
        <v>841</v>
      </c>
      <c r="DA17" s="12" t="s">
        <v>841</v>
      </c>
      <c r="DB17" s="12" t="s">
        <v>838</v>
      </c>
    </row>
    <row r="18" spans="1:106" ht="12.75">
      <c r="A18" s="34" t="s">
        <v>333</v>
      </c>
      <c r="B18" s="12" t="s">
        <v>329</v>
      </c>
      <c r="C18" s="12" t="s">
        <v>447</v>
      </c>
      <c r="D18" s="34" t="s">
        <v>1058</v>
      </c>
      <c r="E18" s="12">
        <v>2006</v>
      </c>
      <c r="F18" s="9">
        <v>14</v>
      </c>
      <c r="G18" s="12" t="s">
        <v>897</v>
      </c>
      <c r="I18" s="35" t="s">
        <v>1059</v>
      </c>
      <c r="J18" s="35" t="s">
        <v>1060</v>
      </c>
      <c r="K18" s="12" t="s">
        <v>841</v>
      </c>
      <c r="L18" s="12" t="s">
        <v>841</v>
      </c>
      <c r="M18" s="12" t="s">
        <v>841</v>
      </c>
      <c r="N18" s="12" t="s">
        <v>163</v>
      </c>
      <c r="O18" s="9">
        <v>2016</v>
      </c>
      <c r="P18" s="9" t="s">
        <v>1061</v>
      </c>
      <c r="Q18" s="52">
        <v>456000</v>
      </c>
      <c r="R18" s="73">
        <f t="shared" si="1"/>
        <v>1</v>
      </c>
      <c r="S18" s="54">
        <v>0.05</v>
      </c>
      <c r="T18" s="59">
        <v>0.2</v>
      </c>
      <c r="U18" s="54">
        <v>0.7</v>
      </c>
      <c r="V18" s="48"/>
      <c r="W18" s="48"/>
      <c r="X18" s="54">
        <v>0.05</v>
      </c>
      <c r="Y18" s="50">
        <v>40</v>
      </c>
      <c r="Z18" s="50">
        <v>30</v>
      </c>
      <c r="AA18" s="50">
        <v>10</v>
      </c>
      <c r="AB18" s="24">
        <v>39</v>
      </c>
      <c r="AC18" s="24">
        <v>1</v>
      </c>
      <c r="AD18" s="24"/>
      <c r="AE18" s="24"/>
      <c r="AF18" s="51">
        <v>32</v>
      </c>
      <c r="AG18" s="51">
        <v>7</v>
      </c>
      <c r="AH18" s="12" t="s">
        <v>839</v>
      </c>
      <c r="AI18" s="12" t="s">
        <v>839</v>
      </c>
      <c r="AJ18" s="9">
        <v>1</v>
      </c>
      <c r="AK18" s="12"/>
      <c r="AL18" s="12" t="s">
        <v>163</v>
      </c>
      <c r="AM18" s="12" t="s">
        <v>163</v>
      </c>
      <c r="AN18" s="12" t="s">
        <v>163</v>
      </c>
      <c r="AO18" s="12" t="s">
        <v>163</v>
      </c>
      <c r="AP18" s="12" t="s">
        <v>430</v>
      </c>
      <c r="AQ18" s="12" t="s">
        <v>1062</v>
      </c>
      <c r="AS18" s="12" t="s">
        <v>163</v>
      </c>
      <c r="AT18" s="12" t="s">
        <v>163</v>
      </c>
      <c r="AU18" s="12" t="s">
        <v>164</v>
      </c>
      <c r="AV18" s="12" t="s">
        <v>164</v>
      </c>
      <c r="AW18" s="12"/>
      <c r="AX18" s="48">
        <v>950</v>
      </c>
      <c r="AY18" s="48">
        <v>20</v>
      </c>
      <c r="AZ18" s="12"/>
      <c r="BA18" s="12" t="s">
        <v>163</v>
      </c>
      <c r="BB18" s="12" t="s">
        <v>163</v>
      </c>
      <c r="BC18" s="12" t="s">
        <v>164</v>
      </c>
      <c r="BD18" s="12" t="s">
        <v>163</v>
      </c>
      <c r="BE18" s="12" t="s">
        <v>1063</v>
      </c>
      <c r="BG18" s="36" t="s">
        <v>501</v>
      </c>
      <c r="BH18" s="12" t="s">
        <v>1064</v>
      </c>
      <c r="BI18" s="12" t="s">
        <v>163</v>
      </c>
      <c r="BJ18" s="12" t="s">
        <v>391</v>
      </c>
      <c r="BK18" s="12" t="s">
        <v>163</v>
      </c>
      <c r="BL18" s="12" t="s">
        <v>502</v>
      </c>
      <c r="BM18" s="35" t="s">
        <v>163</v>
      </c>
      <c r="BN18" s="12" t="s">
        <v>1065</v>
      </c>
      <c r="BO18" s="12" t="s">
        <v>163</v>
      </c>
      <c r="BP18" s="12" t="s">
        <v>163</v>
      </c>
      <c r="BQ18" s="12" t="s">
        <v>163</v>
      </c>
      <c r="BR18" s="12" t="s">
        <v>163</v>
      </c>
      <c r="BS18" s="12" t="s">
        <v>625</v>
      </c>
      <c r="BT18" s="12" t="s">
        <v>163</v>
      </c>
      <c r="BU18" s="12" t="s">
        <v>669</v>
      </c>
      <c r="BV18" s="12" t="s">
        <v>163</v>
      </c>
      <c r="BW18" s="12" t="s">
        <v>670</v>
      </c>
      <c r="BX18" s="12" t="s">
        <v>163</v>
      </c>
      <c r="BY18" s="12" t="s">
        <v>163</v>
      </c>
      <c r="BZ18" s="12" t="s">
        <v>582</v>
      </c>
      <c r="CA18" s="12" t="s">
        <v>164</v>
      </c>
      <c r="CB18" s="12" t="s">
        <v>164</v>
      </c>
      <c r="CC18" s="12" t="s">
        <v>163</v>
      </c>
      <c r="CD18" s="12" t="s">
        <v>164</v>
      </c>
      <c r="CE18" s="12" t="s">
        <v>164</v>
      </c>
      <c r="CF18" s="12" t="s">
        <v>164</v>
      </c>
      <c r="CG18" s="12" t="s">
        <v>164</v>
      </c>
      <c r="CI18" s="12" t="s">
        <v>163</v>
      </c>
      <c r="CJ18" s="12" t="s">
        <v>1066</v>
      </c>
      <c r="CK18" s="12" t="s">
        <v>1067</v>
      </c>
      <c r="CL18" s="12" t="s">
        <v>1068</v>
      </c>
      <c r="CM18" s="12" t="s">
        <v>163</v>
      </c>
      <c r="CN18" s="12" t="s">
        <v>163</v>
      </c>
      <c r="CO18" s="12" t="s">
        <v>1069</v>
      </c>
      <c r="CP18" s="49">
        <v>5000</v>
      </c>
      <c r="CQ18" s="12" t="s">
        <v>163</v>
      </c>
      <c r="CR18" s="12" t="s">
        <v>749</v>
      </c>
      <c r="CS18" s="12" t="s">
        <v>1070</v>
      </c>
      <c r="CT18" s="12" t="s">
        <v>749</v>
      </c>
      <c r="CU18" s="12" t="s">
        <v>1071</v>
      </c>
      <c r="CV18" s="12" t="s">
        <v>749</v>
      </c>
      <c r="CW18" s="12" t="s">
        <v>1072</v>
      </c>
      <c r="CX18" s="12" t="s">
        <v>749</v>
      </c>
      <c r="CY18" s="12" t="s">
        <v>1073</v>
      </c>
      <c r="CZ18" s="12" t="s">
        <v>839</v>
      </c>
      <c r="DA18" s="12" t="s">
        <v>841</v>
      </c>
      <c r="DB18" s="12" t="s">
        <v>838</v>
      </c>
    </row>
    <row r="19" spans="1:106" ht="12.75">
      <c r="A19" s="34" t="s">
        <v>148</v>
      </c>
      <c r="B19" s="12" t="s">
        <v>280</v>
      </c>
      <c r="C19" s="12" t="s">
        <v>552</v>
      </c>
      <c r="D19" s="34" t="s">
        <v>129</v>
      </c>
      <c r="E19" s="3">
        <v>1982</v>
      </c>
      <c r="F19" s="9">
        <v>18</v>
      </c>
      <c r="G19" s="9" t="s">
        <v>835</v>
      </c>
      <c r="I19" s="9" t="s">
        <v>164</v>
      </c>
      <c r="J19" s="9" t="s">
        <v>1074</v>
      </c>
      <c r="K19" s="9" t="s">
        <v>841</v>
      </c>
      <c r="L19" s="9" t="s">
        <v>838</v>
      </c>
      <c r="M19" s="9" t="s">
        <v>841</v>
      </c>
      <c r="N19" s="9" t="s">
        <v>163</v>
      </c>
      <c r="O19" s="9">
        <v>2016</v>
      </c>
      <c r="P19" s="9" t="s">
        <v>1092</v>
      </c>
      <c r="Q19" s="52">
        <v>1000000</v>
      </c>
      <c r="R19" s="73">
        <f t="shared" si="1"/>
        <v>1.0000000000000002</v>
      </c>
      <c r="S19" s="59">
        <v>0.13</v>
      </c>
      <c r="T19" s="59">
        <v>0.15</v>
      </c>
      <c r="U19" s="59">
        <v>0.34</v>
      </c>
      <c r="V19" s="59">
        <v>0.16</v>
      </c>
      <c r="W19" s="59">
        <v>0.16</v>
      </c>
      <c r="X19" s="59">
        <v>0.06</v>
      </c>
      <c r="Y19" s="74">
        <v>88</v>
      </c>
      <c r="Z19" s="74">
        <v>88</v>
      </c>
      <c r="AA19" s="50">
        <v>0</v>
      </c>
      <c r="AB19" s="50">
        <v>88</v>
      </c>
      <c r="AC19" s="24">
        <v>0</v>
      </c>
      <c r="AD19" s="24"/>
      <c r="AE19" s="24"/>
      <c r="AF19" s="51">
        <v>75</v>
      </c>
      <c r="AG19" s="51">
        <v>13</v>
      </c>
      <c r="AH19" s="9" t="s">
        <v>880</v>
      </c>
      <c r="AI19" s="9" t="s">
        <v>839</v>
      </c>
      <c r="AJ19" s="9">
        <v>15</v>
      </c>
      <c r="AL19" s="12" t="s">
        <v>163</v>
      </c>
      <c r="AM19" s="12" t="s">
        <v>163</v>
      </c>
      <c r="AN19" s="12" t="s">
        <v>163</v>
      </c>
      <c r="AO19" s="12" t="s">
        <v>163</v>
      </c>
      <c r="AP19" s="12" t="s">
        <v>163</v>
      </c>
      <c r="AQ19" s="12" t="s">
        <v>1040</v>
      </c>
      <c r="AS19" s="12" t="s">
        <v>164</v>
      </c>
      <c r="AT19" s="12" t="s">
        <v>164</v>
      </c>
      <c r="AU19" s="9" t="s">
        <v>163</v>
      </c>
      <c r="AV19" s="35" t="s">
        <v>164</v>
      </c>
      <c r="AW19" s="12" t="s">
        <v>1041</v>
      </c>
      <c r="AX19" s="48">
        <v>5000</v>
      </c>
      <c r="AY19" s="48">
        <v>50</v>
      </c>
      <c r="BA19" s="12" t="s">
        <v>163</v>
      </c>
      <c r="BB19" s="12" t="s">
        <v>164</v>
      </c>
      <c r="BC19" s="12" t="s">
        <v>164</v>
      </c>
      <c r="BD19" s="12" t="s">
        <v>163</v>
      </c>
      <c r="BE19" s="12" t="s">
        <v>1042</v>
      </c>
      <c r="BG19" s="36" t="s">
        <v>503</v>
      </c>
      <c r="BH19" s="9" t="s">
        <v>1043</v>
      </c>
      <c r="BI19" s="12" t="s">
        <v>163</v>
      </c>
      <c r="BJ19" s="12" t="s">
        <v>164</v>
      </c>
      <c r="BK19" s="12" t="s">
        <v>163</v>
      </c>
      <c r="BL19" s="12" t="s">
        <v>1044</v>
      </c>
      <c r="BM19" s="35" t="s">
        <v>163</v>
      </c>
      <c r="BN19" s="12" t="s">
        <v>1045</v>
      </c>
      <c r="BO19" s="12" t="s">
        <v>163</v>
      </c>
      <c r="BP19" s="12" t="s">
        <v>163</v>
      </c>
      <c r="BQ19" s="9" t="s">
        <v>163</v>
      </c>
      <c r="BR19" s="35" t="s">
        <v>163</v>
      </c>
      <c r="BS19" s="12" t="s">
        <v>583</v>
      </c>
      <c r="BT19" s="12" t="s">
        <v>163</v>
      </c>
      <c r="BU19" s="9" t="s">
        <v>584</v>
      </c>
      <c r="BV19" s="9" t="s">
        <v>163</v>
      </c>
      <c r="BW19" s="12" t="s">
        <v>585</v>
      </c>
      <c r="BX19" s="9" t="s">
        <v>164</v>
      </c>
      <c r="BY19" s="12" t="s">
        <v>163</v>
      </c>
      <c r="BZ19" s="12" t="s">
        <v>586</v>
      </c>
      <c r="CA19" s="12" t="s">
        <v>164</v>
      </c>
      <c r="CB19" s="9" t="s">
        <v>164</v>
      </c>
      <c r="CC19" s="35" t="s">
        <v>164</v>
      </c>
      <c r="CD19" s="12" t="s">
        <v>164</v>
      </c>
      <c r="CE19" s="12" t="s">
        <v>164</v>
      </c>
      <c r="CF19" s="12" t="s">
        <v>163</v>
      </c>
      <c r="CG19" s="9" t="s">
        <v>163</v>
      </c>
      <c r="CH19" s="9" t="s">
        <v>587</v>
      </c>
      <c r="CI19" s="12" t="s">
        <v>163</v>
      </c>
      <c r="CJ19" s="12" t="s">
        <v>1046</v>
      </c>
      <c r="CK19" s="12" t="s">
        <v>1093</v>
      </c>
      <c r="CL19" s="12" t="s">
        <v>1050</v>
      </c>
      <c r="CM19" s="9" t="s">
        <v>163</v>
      </c>
      <c r="CN19" s="9" t="s">
        <v>163</v>
      </c>
      <c r="CO19" s="9" t="s">
        <v>1051</v>
      </c>
      <c r="CP19" s="49">
        <v>3000</v>
      </c>
      <c r="CQ19" s="12" t="s">
        <v>163</v>
      </c>
      <c r="CR19" s="9" t="s">
        <v>751</v>
      </c>
      <c r="CS19" s="12" t="s">
        <v>1052</v>
      </c>
      <c r="CT19" s="9" t="s">
        <v>749</v>
      </c>
      <c r="CU19" s="12" t="s">
        <v>1103</v>
      </c>
      <c r="CV19" s="9" t="s">
        <v>751</v>
      </c>
      <c r="CW19" s="9" t="s">
        <v>1104</v>
      </c>
      <c r="CX19" s="9" t="s">
        <v>749</v>
      </c>
      <c r="CY19" s="12" t="s">
        <v>1105</v>
      </c>
      <c r="CZ19" s="9" t="s">
        <v>839</v>
      </c>
      <c r="DA19" s="9" t="s">
        <v>841</v>
      </c>
      <c r="DB19" s="9" t="s">
        <v>838</v>
      </c>
    </row>
    <row r="20" spans="1:106" ht="12.75">
      <c r="A20" s="34" t="s">
        <v>154</v>
      </c>
      <c r="B20" s="12" t="s">
        <v>328</v>
      </c>
      <c r="C20" s="12" t="s">
        <v>352</v>
      </c>
      <c r="D20" s="34" t="s">
        <v>120</v>
      </c>
      <c r="E20" s="12">
        <v>1998</v>
      </c>
      <c r="F20" s="9">
        <v>13</v>
      </c>
      <c r="G20" s="12" t="s">
        <v>835</v>
      </c>
      <c r="H20" s="12" t="s">
        <v>1106</v>
      </c>
      <c r="I20" s="35" t="s">
        <v>183</v>
      </c>
      <c r="J20" s="12" t="s">
        <v>164</v>
      </c>
      <c r="K20" s="12" t="s">
        <v>841</v>
      </c>
      <c r="L20" s="12" t="s">
        <v>838</v>
      </c>
      <c r="M20" s="12" t="s">
        <v>838</v>
      </c>
      <c r="N20" s="12" t="s">
        <v>163</v>
      </c>
      <c r="O20" s="35" t="s">
        <v>772</v>
      </c>
      <c r="P20" s="12" t="s">
        <v>1112</v>
      </c>
      <c r="Q20" s="63">
        <v>450000</v>
      </c>
      <c r="R20" s="73">
        <f t="shared" si="1"/>
        <v>1</v>
      </c>
      <c r="S20" s="54">
        <v>0.01</v>
      </c>
      <c r="T20" s="54">
        <v>0.3</v>
      </c>
      <c r="U20" s="59">
        <v>0.65</v>
      </c>
      <c r="V20" s="54">
        <v>0.04</v>
      </c>
      <c r="W20" s="54">
        <v>0</v>
      </c>
      <c r="X20" s="54">
        <v>0</v>
      </c>
      <c r="Y20" s="50">
        <v>70</v>
      </c>
      <c r="Z20" s="50">
        <v>60</v>
      </c>
      <c r="AA20" s="50">
        <v>10</v>
      </c>
      <c r="AB20" s="50">
        <v>67</v>
      </c>
      <c r="AC20" s="50">
        <v>3</v>
      </c>
      <c r="AD20" s="50"/>
      <c r="AE20" s="50"/>
      <c r="AF20" s="50">
        <v>22</v>
      </c>
      <c r="AG20" s="50">
        <v>45</v>
      </c>
      <c r="AH20" s="12" t="s">
        <v>841</v>
      </c>
      <c r="AI20" s="12" t="s">
        <v>841</v>
      </c>
      <c r="AJ20" s="9">
        <v>1</v>
      </c>
      <c r="AL20" s="12" t="s">
        <v>163</v>
      </c>
      <c r="AM20" s="12" t="s">
        <v>163</v>
      </c>
      <c r="AN20" s="12" t="s">
        <v>163</v>
      </c>
      <c r="AO20" s="12" t="s">
        <v>163</v>
      </c>
      <c r="AP20" s="12" t="s">
        <v>164</v>
      </c>
      <c r="AS20" s="35" t="s">
        <v>164</v>
      </c>
      <c r="AT20" s="12" t="s">
        <v>163</v>
      </c>
      <c r="AU20" s="12" t="s">
        <v>163</v>
      </c>
      <c r="AV20" s="12" t="s">
        <v>164</v>
      </c>
      <c r="AW20" s="12" t="s">
        <v>1113</v>
      </c>
      <c r="AX20" s="48">
        <v>500</v>
      </c>
      <c r="AY20" s="48">
        <v>10</v>
      </c>
      <c r="BA20" s="12" t="s">
        <v>163</v>
      </c>
      <c r="BB20" s="12" t="s">
        <v>164</v>
      </c>
      <c r="BC20" s="12" t="s">
        <v>163</v>
      </c>
      <c r="BD20" s="12" t="s">
        <v>163</v>
      </c>
      <c r="BE20" s="12" t="s">
        <v>1075</v>
      </c>
      <c r="BG20" s="12" t="s">
        <v>1076</v>
      </c>
      <c r="BH20" s="12" t="s">
        <v>1077</v>
      </c>
      <c r="BI20" s="12" t="s">
        <v>163</v>
      </c>
      <c r="BJ20" s="12" t="s">
        <v>504</v>
      </c>
      <c r="BK20" s="12" t="s">
        <v>164</v>
      </c>
      <c r="BL20" s="12" t="s">
        <v>847</v>
      </c>
      <c r="BM20" s="12" t="s">
        <v>163</v>
      </c>
      <c r="BN20" s="12" t="s">
        <v>1078</v>
      </c>
      <c r="BO20" s="12" t="s">
        <v>164</v>
      </c>
      <c r="BP20" s="12" t="s">
        <v>164</v>
      </c>
      <c r="BQ20" s="12" t="s">
        <v>164</v>
      </c>
      <c r="BR20" s="12" t="s">
        <v>163</v>
      </c>
      <c r="BS20" s="12" t="s">
        <v>588</v>
      </c>
      <c r="BT20" s="12" t="s">
        <v>164</v>
      </c>
      <c r="BV20" s="12" t="s">
        <v>163</v>
      </c>
      <c r="BW20" s="12" t="s">
        <v>589</v>
      </c>
      <c r="BX20" s="12" t="s">
        <v>163</v>
      </c>
      <c r="BY20" s="12" t="s">
        <v>163</v>
      </c>
      <c r="BZ20" s="12" t="s">
        <v>590</v>
      </c>
      <c r="CA20" s="12" t="s">
        <v>164</v>
      </c>
      <c r="CB20" s="12" t="s">
        <v>164</v>
      </c>
      <c r="CC20" s="12" t="s">
        <v>163</v>
      </c>
      <c r="CD20" s="12" t="s">
        <v>164</v>
      </c>
      <c r="CE20" s="12" t="s">
        <v>164</v>
      </c>
      <c r="CF20" s="12" t="s">
        <v>164</v>
      </c>
      <c r="CG20" s="12" t="s">
        <v>164</v>
      </c>
      <c r="CI20" s="12" t="s">
        <v>163</v>
      </c>
      <c r="CJ20" s="12" t="s">
        <v>1079</v>
      </c>
      <c r="CK20" s="12" t="s">
        <v>1080</v>
      </c>
      <c r="CL20" s="12" t="s">
        <v>1081</v>
      </c>
      <c r="CM20" s="12" t="s">
        <v>163</v>
      </c>
      <c r="CN20" s="12" t="s">
        <v>163</v>
      </c>
      <c r="CO20" s="12" t="s">
        <v>163</v>
      </c>
      <c r="CP20" s="49">
        <v>2500</v>
      </c>
      <c r="CQ20" s="12" t="s">
        <v>164</v>
      </c>
      <c r="CR20" s="12" t="s">
        <v>749</v>
      </c>
      <c r="CS20" s="12" t="s">
        <v>1082</v>
      </c>
      <c r="CT20" s="12" t="s">
        <v>1083</v>
      </c>
      <c r="CU20" s="12" t="s">
        <v>1084</v>
      </c>
      <c r="CV20" s="12" t="s">
        <v>749</v>
      </c>
      <c r="CW20" s="12" t="s">
        <v>1085</v>
      </c>
      <c r="CX20" s="12" t="s">
        <v>1083</v>
      </c>
      <c r="CY20" s="12" t="s">
        <v>1084</v>
      </c>
      <c r="CZ20" s="12" t="s">
        <v>841</v>
      </c>
      <c r="DA20" s="12" t="s">
        <v>841</v>
      </c>
      <c r="DB20" s="12" t="s">
        <v>841</v>
      </c>
    </row>
    <row r="21" spans="1:106" ht="12.75">
      <c r="A21" s="34" t="s">
        <v>154</v>
      </c>
      <c r="B21" s="34" t="s">
        <v>354</v>
      </c>
      <c r="C21" s="12" t="s">
        <v>342</v>
      </c>
      <c r="D21" s="34" t="s">
        <v>120</v>
      </c>
      <c r="E21" s="3">
        <v>1998</v>
      </c>
      <c r="F21" s="9">
        <v>18</v>
      </c>
      <c r="G21" s="9" t="s">
        <v>835</v>
      </c>
      <c r="I21" s="9" t="s">
        <v>1086</v>
      </c>
      <c r="J21" s="9" t="s">
        <v>1087</v>
      </c>
      <c r="K21" s="9" t="s">
        <v>841</v>
      </c>
      <c r="L21" s="9" t="s">
        <v>841</v>
      </c>
      <c r="M21" s="9" t="s">
        <v>841</v>
      </c>
      <c r="N21" s="9" t="s">
        <v>163</v>
      </c>
      <c r="O21" s="9">
        <v>2014</v>
      </c>
      <c r="P21" s="12" t="s">
        <v>1088</v>
      </c>
      <c r="Q21" s="52">
        <v>1600000</v>
      </c>
      <c r="R21" s="48">
        <f t="shared" si="1"/>
        <v>1600000</v>
      </c>
      <c r="S21" s="48">
        <v>35000</v>
      </c>
      <c r="T21" s="48">
        <v>400000</v>
      </c>
      <c r="U21" s="48">
        <v>277000</v>
      </c>
      <c r="V21" s="48">
        <v>100000</v>
      </c>
      <c r="W21" s="48">
        <v>5000</v>
      </c>
      <c r="X21" s="48">
        <v>783000</v>
      </c>
      <c r="Y21" s="24">
        <v>250</v>
      </c>
      <c r="Z21" s="24">
        <v>200</v>
      </c>
      <c r="AA21" s="24">
        <v>50</v>
      </c>
      <c r="AB21" s="50">
        <v>238</v>
      </c>
      <c r="AC21" s="50">
        <v>12</v>
      </c>
      <c r="AD21" s="24"/>
      <c r="AE21" s="24"/>
      <c r="AF21" s="51">
        <v>190</v>
      </c>
      <c r="AG21" s="56">
        <v>48</v>
      </c>
      <c r="AH21" s="9" t="s">
        <v>864</v>
      </c>
      <c r="AI21" s="9" t="s">
        <v>839</v>
      </c>
      <c r="AJ21" s="9">
        <v>1</v>
      </c>
      <c r="AL21" s="12" t="s">
        <v>163</v>
      </c>
      <c r="AM21" s="12" t="s">
        <v>163</v>
      </c>
      <c r="AN21" s="12" t="s">
        <v>163</v>
      </c>
      <c r="AO21" s="12" t="s">
        <v>163</v>
      </c>
      <c r="AP21" s="12" t="s">
        <v>164</v>
      </c>
      <c r="AQ21" s="9" t="s">
        <v>1089</v>
      </c>
      <c r="AS21" s="12" t="s">
        <v>163</v>
      </c>
      <c r="AT21" s="12" t="s">
        <v>163</v>
      </c>
      <c r="AU21" s="12" t="s">
        <v>163</v>
      </c>
      <c r="AV21" s="12" t="s">
        <v>164</v>
      </c>
      <c r="AX21" s="48">
        <v>500</v>
      </c>
      <c r="AY21" s="48">
        <v>50</v>
      </c>
      <c r="BA21" s="12" t="s">
        <v>163</v>
      </c>
      <c r="BB21" s="12" t="s">
        <v>163</v>
      </c>
      <c r="BC21" s="12" t="s">
        <v>163</v>
      </c>
      <c r="BD21" s="12" t="s">
        <v>163</v>
      </c>
      <c r="BE21" s="9" t="s">
        <v>1090</v>
      </c>
      <c r="BG21" s="36" t="s">
        <v>505</v>
      </c>
      <c r="BH21" s="9" t="s">
        <v>1091</v>
      </c>
      <c r="BI21" s="12" t="s">
        <v>163</v>
      </c>
      <c r="BJ21" s="12" t="s">
        <v>506</v>
      </c>
      <c r="BK21" s="12" t="s">
        <v>163</v>
      </c>
      <c r="BL21" s="12" t="s">
        <v>905</v>
      </c>
      <c r="BM21" s="35" t="s">
        <v>163</v>
      </c>
      <c r="BN21" s="12" t="s">
        <v>1115</v>
      </c>
      <c r="BO21" s="9" t="s">
        <v>163</v>
      </c>
      <c r="BP21" s="12" t="s">
        <v>164</v>
      </c>
      <c r="BQ21" s="35" t="s">
        <v>164</v>
      </c>
      <c r="BR21" s="12" t="s">
        <v>163</v>
      </c>
      <c r="BS21" s="12" t="s">
        <v>591</v>
      </c>
      <c r="BT21" s="12" t="s">
        <v>163</v>
      </c>
      <c r="BU21" s="9" t="s">
        <v>632</v>
      </c>
      <c r="BV21" s="9" t="s">
        <v>163</v>
      </c>
      <c r="BW21" s="12" t="s">
        <v>633</v>
      </c>
      <c r="BX21" s="12" t="s">
        <v>163</v>
      </c>
      <c r="BY21" s="12" t="s">
        <v>164</v>
      </c>
      <c r="CA21" s="9" t="s">
        <v>164</v>
      </c>
      <c r="CB21" s="9" t="s">
        <v>164</v>
      </c>
      <c r="CC21" s="12" t="s">
        <v>163</v>
      </c>
      <c r="CD21" s="12" t="s">
        <v>163</v>
      </c>
      <c r="CE21" s="12" t="s">
        <v>164</v>
      </c>
      <c r="CF21" s="12" t="s">
        <v>164</v>
      </c>
      <c r="CG21" s="35" t="s">
        <v>164</v>
      </c>
      <c r="CI21" s="9" t="s">
        <v>164</v>
      </c>
      <c r="CL21" s="12" t="s">
        <v>1116</v>
      </c>
      <c r="CM21" s="12" t="s">
        <v>163</v>
      </c>
      <c r="CN21" s="12" t="s">
        <v>163</v>
      </c>
      <c r="CO21" s="12" t="s">
        <v>1117</v>
      </c>
      <c r="CP21" s="49">
        <v>30000</v>
      </c>
      <c r="CQ21" s="12" t="s">
        <v>163</v>
      </c>
      <c r="CR21" s="12" t="s">
        <v>749</v>
      </c>
      <c r="CS21" s="12" t="s">
        <v>1118</v>
      </c>
      <c r="CT21" s="12" t="s">
        <v>749</v>
      </c>
      <c r="CU21" s="12" t="s">
        <v>1119</v>
      </c>
      <c r="CV21" s="12" t="s">
        <v>751</v>
      </c>
      <c r="CW21" s="12" t="s">
        <v>1122</v>
      </c>
      <c r="CX21" s="12" t="s">
        <v>749</v>
      </c>
      <c r="CY21" s="12" t="s">
        <v>1123</v>
      </c>
      <c r="CZ21" s="12" t="s">
        <v>839</v>
      </c>
      <c r="DA21" s="12" t="s">
        <v>839</v>
      </c>
      <c r="DB21" s="12" t="s">
        <v>841</v>
      </c>
    </row>
    <row r="22" spans="1:106" ht="12.75">
      <c r="A22" s="34" t="s">
        <v>336</v>
      </c>
      <c r="B22" s="12" t="s">
        <v>168</v>
      </c>
      <c r="C22" s="12" t="s">
        <v>281</v>
      </c>
      <c r="D22" s="34" t="s">
        <v>1124</v>
      </c>
      <c r="E22" s="3">
        <v>1981</v>
      </c>
      <c r="F22" s="9">
        <v>12</v>
      </c>
      <c r="G22" s="12" t="s">
        <v>835</v>
      </c>
      <c r="I22" s="12" t="s">
        <v>164</v>
      </c>
      <c r="J22" s="12" t="s">
        <v>1131</v>
      </c>
      <c r="K22" s="12" t="s">
        <v>839</v>
      </c>
      <c r="L22" s="12" t="s">
        <v>838</v>
      </c>
      <c r="M22" s="12" t="s">
        <v>841</v>
      </c>
      <c r="N22" s="12" t="s">
        <v>163</v>
      </c>
      <c r="O22" s="12" t="s">
        <v>164</v>
      </c>
      <c r="P22" s="12" t="s">
        <v>1132</v>
      </c>
      <c r="Q22" s="52">
        <v>1280000</v>
      </c>
      <c r="R22" s="77">
        <f t="shared" si="1"/>
        <v>1</v>
      </c>
      <c r="S22" s="57">
        <v>0.01</v>
      </c>
      <c r="T22" s="58">
        <v>0.2</v>
      </c>
      <c r="U22" s="58">
        <v>0.2</v>
      </c>
      <c r="V22" s="58">
        <v>0.05</v>
      </c>
      <c r="W22" s="58">
        <v>0</v>
      </c>
      <c r="X22" s="58">
        <v>0.54</v>
      </c>
      <c r="Y22" s="9">
        <v>51</v>
      </c>
      <c r="Z22" s="9">
        <v>51</v>
      </c>
      <c r="AA22" s="9">
        <v>0</v>
      </c>
      <c r="AB22" s="24">
        <v>51</v>
      </c>
      <c r="AC22" s="24">
        <v>0</v>
      </c>
      <c r="AD22" s="24"/>
      <c r="AE22" s="24"/>
      <c r="AF22" s="24">
        <v>1</v>
      </c>
      <c r="AG22" s="24">
        <v>50</v>
      </c>
      <c r="AH22" s="9" t="s">
        <v>864</v>
      </c>
      <c r="AI22" s="9" t="s">
        <v>841</v>
      </c>
      <c r="AJ22" s="9">
        <v>4</v>
      </c>
      <c r="AL22" s="9" t="s">
        <v>163</v>
      </c>
      <c r="AM22" s="12" t="s">
        <v>163</v>
      </c>
      <c r="AN22" s="12" t="s">
        <v>163</v>
      </c>
      <c r="AO22" s="12" t="s">
        <v>163</v>
      </c>
      <c r="AP22" s="12" t="s">
        <v>164</v>
      </c>
      <c r="AQ22" s="12" t="s">
        <v>1133</v>
      </c>
      <c r="AS22" s="35" t="s">
        <v>164</v>
      </c>
      <c r="AT22" s="35" t="s">
        <v>164</v>
      </c>
      <c r="AU22" s="35" t="s">
        <v>164</v>
      </c>
      <c r="AV22" s="9" t="s">
        <v>163</v>
      </c>
      <c r="AX22" s="48">
        <v>250</v>
      </c>
      <c r="AY22" s="48">
        <v>250</v>
      </c>
      <c r="BA22" s="12" t="s">
        <v>163</v>
      </c>
      <c r="BB22" s="12" t="s">
        <v>163</v>
      </c>
      <c r="BC22" s="12" t="s">
        <v>163</v>
      </c>
      <c r="BD22" s="12" t="s">
        <v>163</v>
      </c>
      <c r="BG22" s="36" t="s">
        <v>507</v>
      </c>
      <c r="BH22" s="9" t="s">
        <v>1134</v>
      </c>
      <c r="BI22" s="12" t="s">
        <v>163</v>
      </c>
      <c r="BJ22" s="12" t="s">
        <v>164</v>
      </c>
      <c r="BK22" s="9" t="s">
        <v>164</v>
      </c>
      <c r="BL22" s="12" t="s">
        <v>847</v>
      </c>
      <c r="BM22" s="35" t="s">
        <v>163</v>
      </c>
      <c r="BN22" s="12" t="s">
        <v>1094</v>
      </c>
      <c r="BO22" s="12" t="s">
        <v>163</v>
      </c>
      <c r="BP22" s="12" t="s">
        <v>163</v>
      </c>
      <c r="BQ22" s="35" t="s">
        <v>164</v>
      </c>
      <c r="BR22" s="35" t="s">
        <v>163</v>
      </c>
      <c r="BS22" s="12" t="s">
        <v>634</v>
      </c>
      <c r="BT22" s="12" t="s">
        <v>163</v>
      </c>
      <c r="BU22" s="9" t="s">
        <v>635</v>
      </c>
      <c r="BV22" s="9" t="s">
        <v>163</v>
      </c>
      <c r="BW22" s="12" t="s">
        <v>636</v>
      </c>
      <c r="BX22" s="35" t="s">
        <v>164</v>
      </c>
      <c r="BY22" s="12" t="s">
        <v>163</v>
      </c>
      <c r="BZ22" s="12" t="s">
        <v>637</v>
      </c>
      <c r="CA22" s="12" t="s">
        <v>164</v>
      </c>
      <c r="CB22" s="12" t="s">
        <v>163</v>
      </c>
      <c r="CC22" s="35" t="s">
        <v>164</v>
      </c>
      <c r="CD22" s="12" t="s">
        <v>164</v>
      </c>
      <c r="CE22" s="12" t="s">
        <v>164</v>
      </c>
      <c r="CF22" s="12" t="s">
        <v>164</v>
      </c>
      <c r="CG22" s="12" t="s">
        <v>163</v>
      </c>
      <c r="CH22" s="12" t="s">
        <v>638</v>
      </c>
      <c r="CP22" s="55"/>
      <c r="CR22" s="9" t="s">
        <v>751</v>
      </c>
      <c r="CS22" s="12" t="s">
        <v>1095</v>
      </c>
      <c r="CT22" s="9" t="s">
        <v>749</v>
      </c>
      <c r="CU22" s="9" t="s">
        <v>1096</v>
      </c>
      <c r="CV22" s="9" t="s">
        <v>751</v>
      </c>
      <c r="CW22" s="9" t="s">
        <v>1097</v>
      </c>
      <c r="CX22" s="9" t="s">
        <v>749</v>
      </c>
      <c r="CY22" s="9" t="s">
        <v>1098</v>
      </c>
      <c r="CZ22" s="12" t="s">
        <v>839</v>
      </c>
      <c r="DA22" s="12" t="s">
        <v>841</v>
      </c>
      <c r="DB22" s="12" t="s">
        <v>838</v>
      </c>
    </row>
    <row r="23" spans="1:106" ht="12.75">
      <c r="A23" s="34" t="s">
        <v>334</v>
      </c>
      <c r="B23" s="12" t="s">
        <v>327</v>
      </c>
      <c r="C23" s="12" t="s">
        <v>350</v>
      </c>
      <c r="D23" s="34" t="s">
        <v>1099</v>
      </c>
      <c r="E23" s="12">
        <v>2011</v>
      </c>
      <c r="F23" s="9">
        <v>9</v>
      </c>
      <c r="G23" s="9" t="s">
        <v>897</v>
      </c>
      <c r="H23" s="9" t="s">
        <v>1100</v>
      </c>
      <c r="J23" s="9" t="s">
        <v>1101</v>
      </c>
      <c r="K23" s="9" t="s">
        <v>841</v>
      </c>
      <c r="L23" s="9" t="s">
        <v>838</v>
      </c>
      <c r="M23" s="9" t="s">
        <v>1102</v>
      </c>
      <c r="N23" s="9" t="s">
        <v>163</v>
      </c>
      <c r="O23" s="9" t="s">
        <v>772</v>
      </c>
      <c r="P23" s="44" t="s">
        <v>1135</v>
      </c>
      <c r="Q23" s="52">
        <v>90000</v>
      </c>
      <c r="R23" s="48">
        <f t="shared" si="1"/>
        <v>90000</v>
      </c>
      <c r="S23" s="48">
        <v>0</v>
      </c>
      <c r="T23" s="48">
        <v>0</v>
      </c>
      <c r="U23" s="48">
        <v>82000</v>
      </c>
      <c r="V23" s="48">
        <v>0</v>
      </c>
      <c r="W23" s="48">
        <v>0</v>
      </c>
      <c r="X23" s="48">
        <v>8000</v>
      </c>
      <c r="Y23" s="50">
        <v>27</v>
      </c>
      <c r="Z23" s="50">
        <v>27</v>
      </c>
      <c r="AA23" s="24"/>
      <c r="AB23" s="24">
        <v>26</v>
      </c>
      <c r="AC23" s="24">
        <v>1</v>
      </c>
      <c r="AD23" s="24"/>
      <c r="AE23" s="24"/>
      <c r="AF23" s="51">
        <v>23</v>
      </c>
      <c r="AG23" s="51">
        <f>10%*Y23</f>
        <v>2.7</v>
      </c>
      <c r="AH23" s="9" t="s">
        <v>880</v>
      </c>
      <c r="AI23" s="9" t="s">
        <v>841</v>
      </c>
      <c r="AJ23" s="9">
        <v>4</v>
      </c>
      <c r="AL23" s="12" t="s">
        <v>163</v>
      </c>
      <c r="AM23" s="12" t="s">
        <v>163</v>
      </c>
      <c r="AN23" s="12" t="s">
        <v>163</v>
      </c>
      <c r="AO23" s="12" t="s">
        <v>163</v>
      </c>
      <c r="AP23" s="12" t="s">
        <v>164</v>
      </c>
      <c r="AQ23" s="9" t="s">
        <v>1136</v>
      </c>
      <c r="AS23" s="35" t="s">
        <v>855</v>
      </c>
      <c r="AT23" s="35" t="s">
        <v>855</v>
      </c>
      <c r="AU23" s="35" t="s">
        <v>855</v>
      </c>
      <c r="AV23" s="35" t="s">
        <v>855</v>
      </c>
      <c r="AW23" s="12" t="s">
        <v>1137</v>
      </c>
      <c r="AX23" s="48">
        <v>0</v>
      </c>
      <c r="AY23" s="48">
        <v>0</v>
      </c>
      <c r="BA23" s="9" t="s">
        <v>164</v>
      </c>
      <c r="BB23" s="9" t="s">
        <v>164</v>
      </c>
      <c r="BC23" s="9" t="s">
        <v>164</v>
      </c>
      <c r="BD23" s="9" t="s">
        <v>430</v>
      </c>
      <c r="BE23" s="12" t="s">
        <v>1138</v>
      </c>
      <c r="BG23" s="36" t="s">
        <v>1107</v>
      </c>
      <c r="BH23" s="9" t="s">
        <v>1108</v>
      </c>
      <c r="BI23" s="12" t="s">
        <v>163</v>
      </c>
      <c r="BJ23" s="12" t="s">
        <v>164</v>
      </c>
      <c r="BK23" s="9" t="s">
        <v>163</v>
      </c>
      <c r="BL23" s="12" t="s">
        <v>847</v>
      </c>
      <c r="BM23" s="9" t="s">
        <v>163</v>
      </c>
      <c r="BN23" s="12" t="s">
        <v>1142</v>
      </c>
      <c r="BO23" s="9" t="s">
        <v>163</v>
      </c>
      <c r="BP23" s="12" t="s">
        <v>163</v>
      </c>
      <c r="BQ23" s="35" t="s">
        <v>164</v>
      </c>
      <c r="BR23" s="12" t="s">
        <v>163</v>
      </c>
      <c r="BS23" s="12" t="s">
        <v>639</v>
      </c>
      <c r="BT23" s="12" t="s">
        <v>163</v>
      </c>
      <c r="BU23" s="9" t="s">
        <v>640</v>
      </c>
      <c r="BV23" s="9" t="s">
        <v>163</v>
      </c>
      <c r="BW23" s="12" t="s">
        <v>641</v>
      </c>
      <c r="BX23" s="9" t="s">
        <v>164</v>
      </c>
      <c r="BY23" s="9" t="s">
        <v>163</v>
      </c>
      <c r="BZ23" s="12" t="s">
        <v>688</v>
      </c>
      <c r="CA23" s="9" t="s">
        <v>164</v>
      </c>
      <c r="CB23" s="9" t="s">
        <v>164</v>
      </c>
      <c r="CC23" s="9" t="s">
        <v>164</v>
      </c>
      <c r="CD23" s="12" t="s">
        <v>163</v>
      </c>
      <c r="CE23" s="12" t="s">
        <v>164</v>
      </c>
      <c r="CF23" s="12" t="s">
        <v>164</v>
      </c>
      <c r="CG23" s="35" t="s">
        <v>164</v>
      </c>
      <c r="CI23" s="9" t="s">
        <v>163</v>
      </c>
      <c r="CJ23" s="9" t="s">
        <v>1109</v>
      </c>
      <c r="CK23" s="9" t="s">
        <v>1110</v>
      </c>
      <c r="CL23" s="9" t="s">
        <v>1111</v>
      </c>
      <c r="CM23" s="12" t="s">
        <v>163</v>
      </c>
      <c r="CN23" s="9" t="s">
        <v>163</v>
      </c>
      <c r="CO23" s="12" t="s">
        <v>1145</v>
      </c>
      <c r="CP23" s="49">
        <v>2000</v>
      </c>
      <c r="CQ23" s="9" t="s">
        <v>163</v>
      </c>
      <c r="CR23" s="9" t="s">
        <v>751</v>
      </c>
      <c r="CS23" s="9" t="s">
        <v>1114</v>
      </c>
      <c r="CT23" s="9" t="s">
        <v>749</v>
      </c>
      <c r="CU23" s="12" t="s">
        <v>1150</v>
      </c>
      <c r="CV23" s="9" t="s">
        <v>749</v>
      </c>
      <c r="CW23" s="9" t="s">
        <v>1151</v>
      </c>
      <c r="CX23" s="9" t="s">
        <v>166</v>
      </c>
      <c r="CY23" s="9" t="s">
        <v>1152</v>
      </c>
      <c r="CZ23" s="9" t="s">
        <v>839</v>
      </c>
      <c r="DA23" s="9" t="s">
        <v>838</v>
      </c>
      <c r="DB23" s="9" t="s">
        <v>838</v>
      </c>
    </row>
    <row r="24" spans="1:106" ht="12.75">
      <c r="A24" s="34" t="s">
        <v>145</v>
      </c>
      <c r="B24" s="12" t="s">
        <v>160</v>
      </c>
      <c r="C24" s="12" t="s">
        <v>439</v>
      </c>
      <c r="D24" s="34" t="s">
        <v>191</v>
      </c>
      <c r="E24" s="3">
        <v>1989</v>
      </c>
      <c r="F24" s="9">
        <v>17</v>
      </c>
      <c r="G24" s="35" t="s">
        <v>897</v>
      </c>
      <c r="I24" s="35" t="s">
        <v>1120</v>
      </c>
      <c r="J24" s="35" t="s">
        <v>1121</v>
      </c>
      <c r="K24" s="35" t="s">
        <v>841</v>
      </c>
      <c r="L24" s="35" t="s">
        <v>838</v>
      </c>
      <c r="M24" s="35" t="s">
        <v>841</v>
      </c>
      <c r="N24" s="9" t="s">
        <v>163</v>
      </c>
      <c r="O24" s="9">
        <v>2016</v>
      </c>
      <c r="P24" s="35" t="s">
        <v>1154</v>
      </c>
      <c r="Q24" s="52">
        <v>1200000</v>
      </c>
      <c r="R24" s="54">
        <f t="shared" si="1"/>
        <v>0.9999999999999999</v>
      </c>
      <c r="S24" s="59">
        <v>0.029</v>
      </c>
      <c r="T24" s="59">
        <v>0.053</v>
      </c>
      <c r="U24" s="54">
        <v>0.474</v>
      </c>
      <c r="V24" s="59">
        <v>0.347</v>
      </c>
      <c r="W24" s="59">
        <v>0.021</v>
      </c>
      <c r="X24" s="59">
        <v>0.076</v>
      </c>
      <c r="Y24" s="60">
        <v>150</v>
      </c>
      <c r="Z24" s="61">
        <v>131</v>
      </c>
      <c r="AA24" s="60">
        <v>19</v>
      </c>
      <c r="AB24" s="60">
        <v>102</v>
      </c>
      <c r="AC24" s="60">
        <v>48</v>
      </c>
      <c r="AD24" s="54"/>
      <c r="AE24" s="54"/>
      <c r="AF24" s="54">
        <v>82</v>
      </c>
      <c r="AG24" s="54">
        <v>68</v>
      </c>
      <c r="AH24" s="9" t="s">
        <v>880</v>
      </c>
      <c r="AI24" s="35" t="s">
        <v>841</v>
      </c>
      <c r="AJ24" s="9">
        <v>8</v>
      </c>
      <c r="AL24" s="12" t="s">
        <v>163</v>
      </c>
      <c r="AM24" s="12" t="s">
        <v>163</v>
      </c>
      <c r="AN24" s="12" t="s">
        <v>163</v>
      </c>
      <c r="AO24" s="12" t="s">
        <v>163</v>
      </c>
      <c r="AP24" s="9" t="s">
        <v>164</v>
      </c>
      <c r="AS24" s="12" t="s">
        <v>163</v>
      </c>
      <c r="AT24" s="12" t="s">
        <v>164</v>
      </c>
      <c r="AU24" s="12" t="s">
        <v>164</v>
      </c>
      <c r="AV24" s="12" t="s">
        <v>164</v>
      </c>
      <c r="AX24" s="48">
        <v>500</v>
      </c>
      <c r="AY24" s="48">
        <v>100</v>
      </c>
      <c r="BA24" s="12" t="s">
        <v>163</v>
      </c>
      <c r="BB24" s="12" t="s">
        <v>163</v>
      </c>
      <c r="BC24" s="35" t="s">
        <v>164</v>
      </c>
      <c r="BD24" s="12" t="s">
        <v>163</v>
      </c>
      <c r="BG24" s="9" t="s">
        <v>1125</v>
      </c>
      <c r="BH24" s="9" t="s">
        <v>1126</v>
      </c>
      <c r="BI24" s="12" t="s">
        <v>163</v>
      </c>
      <c r="BJ24" s="12" t="s">
        <v>508</v>
      </c>
      <c r="BK24" s="9" t="s">
        <v>163</v>
      </c>
      <c r="BL24" s="12" t="s">
        <v>399</v>
      </c>
      <c r="BM24" s="35" t="s">
        <v>163</v>
      </c>
      <c r="BN24" s="12" t="s">
        <v>1127</v>
      </c>
      <c r="BO24" s="9" t="s">
        <v>163</v>
      </c>
      <c r="BP24" s="12" t="s">
        <v>163</v>
      </c>
      <c r="BQ24" s="35" t="s">
        <v>164</v>
      </c>
      <c r="BR24" s="12" t="s">
        <v>163</v>
      </c>
      <c r="BS24" s="12" t="s">
        <v>689</v>
      </c>
      <c r="BT24" s="12" t="s">
        <v>163</v>
      </c>
      <c r="BU24" s="35" t="s">
        <v>612</v>
      </c>
      <c r="BV24" s="9" t="s">
        <v>163</v>
      </c>
      <c r="BW24" s="12" t="s">
        <v>613</v>
      </c>
      <c r="BX24" s="12" t="s">
        <v>163</v>
      </c>
      <c r="BY24" s="12" t="s">
        <v>163</v>
      </c>
      <c r="BZ24" s="12" t="s">
        <v>614</v>
      </c>
      <c r="CA24" s="9" t="s">
        <v>164</v>
      </c>
      <c r="CB24" s="9" t="s">
        <v>164</v>
      </c>
      <c r="CC24" s="12" t="s">
        <v>163</v>
      </c>
      <c r="CD24" s="12" t="s">
        <v>164</v>
      </c>
      <c r="CE24" s="12" t="s">
        <v>163</v>
      </c>
      <c r="CF24" s="12" t="s">
        <v>163</v>
      </c>
      <c r="CG24" s="35" t="s">
        <v>164</v>
      </c>
      <c r="CI24" s="12" t="s">
        <v>163</v>
      </c>
      <c r="CJ24" s="12" t="s">
        <v>1128</v>
      </c>
      <c r="CK24" s="35" t="s">
        <v>1129</v>
      </c>
      <c r="CL24" s="12" t="s">
        <v>1130</v>
      </c>
      <c r="CM24" s="35" t="s">
        <v>163</v>
      </c>
      <c r="CN24" s="12" t="s">
        <v>163</v>
      </c>
      <c r="CO24" s="12" t="s">
        <v>1156</v>
      </c>
      <c r="CP24" s="49">
        <v>0</v>
      </c>
      <c r="CQ24" s="12" t="s">
        <v>1157</v>
      </c>
      <c r="CR24" s="35" t="s">
        <v>749</v>
      </c>
      <c r="CS24" s="12" t="s">
        <v>1158</v>
      </c>
      <c r="CT24" s="35" t="s">
        <v>749</v>
      </c>
      <c r="CU24" s="12" t="s">
        <v>1159</v>
      </c>
      <c r="CV24" s="35" t="s">
        <v>749</v>
      </c>
      <c r="CW24" s="35" t="s">
        <v>1160</v>
      </c>
      <c r="CX24" s="35" t="s">
        <v>749</v>
      </c>
      <c r="CY24" s="12" t="s">
        <v>1159</v>
      </c>
      <c r="CZ24" s="35" t="s">
        <v>841</v>
      </c>
      <c r="DA24" s="35" t="s">
        <v>838</v>
      </c>
      <c r="DB24" s="35" t="s">
        <v>838</v>
      </c>
    </row>
    <row r="25" spans="1:106" ht="12.75">
      <c r="A25" s="34" t="s">
        <v>335</v>
      </c>
      <c r="B25" s="12" t="s">
        <v>330</v>
      </c>
      <c r="C25" s="12" t="s">
        <v>283</v>
      </c>
      <c r="D25" s="34" t="s">
        <v>1161</v>
      </c>
      <c r="E25" s="3">
        <v>1978</v>
      </c>
      <c r="F25" s="9">
        <v>17</v>
      </c>
      <c r="G25" s="35" t="s">
        <v>897</v>
      </c>
      <c r="I25" s="12" t="s">
        <v>190</v>
      </c>
      <c r="J25" s="35" t="s">
        <v>1162</v>
      </c>
      <c r="K25" s="12" t="s">
        <v>841</v>
      </c>
      <c r="L25" s="12" t="s">
        <v>841</v>
      </c>
      <c r="M25" s="12" t="s">
        <v>880</v>
      </c>
      <c r="N25" s="12" t="s">
        <v>163</v>
      </c>
      <c r="O25" s="35" t="s">
        <v>772</v>
      </c>
      <c r="P25" s="12" t="s">
        <v>1170</v>
      </c>
      <c r="Q25" s="63">
        <v>250000</v>
      </c>
      <c r="R25" s="48">
        <f t="shared" si="1"/>
        <v>220000</v>
      </c>
      <c r="S25" s="62">
        <v>30000</v>
      </c>
      <c r="T25" s="62">
        <v>150000</v>
      </c>
      <c r="U25" s="62">
        <v>5000</v>
      </c>
      <c r="V25" s="62">
        <v>0</v>
      </c>
      <c r="W25" s="62">
        <v>35000</v>
      </c>
      <c r="X25" s="62">
        <v>0</v>
      </c>
      <c r="Y25" s="24">
        <v>170</v>
      </c>
      <c r="Z25" s="24">
        <v>167</v>
      </c>
      <c r="AA25" s="24">
        <v>3</v>
      </c>
      <c r="AB25" s="24">
        <v>153</v>
      </c>
      <c r="AC25" s="24">
        <v>7</v>
      </c>
      <c r="AD25" s="24"/>
      <c r="AE25" s="24"/>
      <c r="AF25" s="24">
        <v>138</v>
      </c>
      <c r="AG25" s="24">
        <v>15</v>
      </c>
      <c r="AH25" s="12" t="s">
        <v>880</v>
      </c>
      <c r="AI25" s="12" t="s">
        <v>839</v>
      </c>
      <c r="AJ25" s="9">
        <v>4</v>
      </c>
      <c r="AL25" s="12" t="s">
        <v>163</v>
      </c>
      <c r="AM25" s="12" t="s">
        <v>163</v>
      </c>
      <c r="AN25" s="12" t="s">
        <v>163</v>
      </c>
      <c r="AO25" s="12" t="s">
        <v>163</v>
      </c>
      <c r="AP25" s="12" t="s">
        <v>164</v>
      </c>
      <c r="AQ25" s="12" t="s">
        <v>1171</v>
      </c>
      <c r="AS25" s="12" t="s">
        <v>163</v>
      </c>
      <c r="AT25" s="12" t="s">
        <v>163</v>
      </c>
      <c r="AU25" s="12" t="s">
        <v>163</v>
      </c>
      <c r="AV25" s="12" t="s">
        <v>164</v>
      </c>
      <c r="AX25" s="48">
        <v>550</v>
      </c>
      <c r="AY25" s="48">
        <v>250</v>
      </c>
      <c r="BA25" s="12" t="s">
        <v>163</v>
      </c>
      <c r="BB25" s="12" t="s">
        <v>163</v>
      </c>
      <c r="BC25" s="12" t="s">
        <v>164</v>
      </c>
      <c r="BD25" s="12" t="s">
        <v>163</v>
      </c>
      <c r="BE25" s="12"/>
      <c r="BG25" s="36" t="s">
        <v>509</v>
      </c>
      <c r="BH25" s="12" t="s">
        <v>164</v>
      </c>
      <c r="BI25" s="12" t="s">
        <v>164</v>
      </c>
      <c r="BJ25" s="12" t="s">
        <v>506</v>
      </c>
      <c r="BK25" s="12" t="s">
        <v>164</v>
      </c>
      <c r="BM25" s="35" t="s">
        <v>163</v>
      </c>
      <c r="BN25" s="12" t="s">
        <v>1139</v>
      </c>
      <c r="BO25" s="12" t="s">
        <v>163</v>
      </c>
      <c r="BP25" s="12" t="s">
        <v>164</v>
      </c>
      <c r="BQ25" s="35" t="s">
        <v>431</v>
      </c>
      <c r="BR25" s="35" t="s">
        <v>430</v>
      </c>
      <c r="BS25" s="12" t="s">
        <v>615</v>
      </c>
      <c r="BT25" s="12" t="s">
        <v>163</v>
      </c>
      <c r="BU25" s="12" t="s">
        <v>616</v>
      </c>
      <c r="BV25" s="9" t="s">
        <v>163</v>
      </c>
      <c r="BW25" s="12" t="s">
        <v>652</v>
      </c>
      <c r="BX25" s="12" t="s">
        <v>163</v>
      </c>
      <c r="BY25" s="12" t="s">
        <v>164</v>
      </c>
      <c r="CA25" s="12" t="s">
        <v>164</v>
      </c>
      <c r="CB25" s="9" t="s">
        <v>164</v>
      </c>
      <c r="CC25" s="35" t="s">
        <v>164</v>
      </c>
      <c r="CD25" s="12" t="s">
        <v>164</v>
      </c>
      <c r="CE25" s="12" t="s">
        <v>164</v>
      </c>
      <c r="CF25" s="12" t="s">
        <v>431</v>
      </c>
      <c r="CG25" s="35" t="s">
        <v>164</v>
      </c>
      <c r="CI25" s="12" t="s">
        <v>163</v>
      </c>
      <c r="CJ25" s="12" t="s">
        <v>1140</v>
      </c>
      <c r="CK25" s="12" t="s">
        <v>1141</v>
      </c>
      <c r="CL25" s="12" t="s">
        <v>1172</v>
      </c>
      <c r="CM25" s="12" t="s">
        <v>163</v>
      </c>
      <c r="CN25" s="12" t="s">
        <v>163</v>
      </c>
      <c r="CO25" s="12" t="s">
        <v>1173</v>
      </c>
      <c r="CP25" s="49">
        <v>1400</v>
      </c>
      <c r="CQ25" s="12" t="s">
        <v>164</v>
      </c>
      <c r="CR25" s="12" t="s">
        <v>751</v>
      </c>
      <c r="CS25" s="12" t="s">
        <v>1174</v>
      </c>
      <c r="CT25" s="12" t="s">
        <v>749</v>
      </c>
      <c r="CU25" s="12" t="s">
        <v>1175</v>
      </c>
      <c r="CV25" s="12" t="s">
        <v>751</v>
      </c>
      <c r="CW25" s="12" t="s">
        <v>1143</v>
      </c>
      <c r="CX25" s="12" t="s">
        <v>751</v>
      </c>
      <c r="CY25" s="12" t="s">
        <v>1144</v>
      </c>
      <c r="CZ25" s="12" t="s">
        <v>841</v>
      </c>
      <c r="DA25" s="12" t="s">
        <v>841</v>
      </c>
      <c r="DB25" s="12" t="s">
        <v>838</v>
      </c>
    </row>
    <row r="26" spans="1:106" ht="12.75">
      <c r="A26" s="34" t="s">
        <v>152</v>
      </c>
      <c r="B26" s="12" t="s">
        <v>284</v>
      </c>
      <c r="C26" s="12" t="s">
        <v>408</v>
      </c>
      <c r="D26" s="34" t="s">
        <v>130</v>
      </c>
      <c r="E26" s="3">
        <v>1989</v>
      </c>
      <c r="F26" s="9">
        <v>17</v>
      </c>
      <c r="G26" s="12" t="s">
        <v>897</v>
      </c>
      <c r="H26" s="12"/>
      <c r="I26" s="12" t="s">
        <v>183</v>
      </c>
      <c r="J26" s="35" t="s">
        <v>1176</v>
      </c>
      <c r="K26" s="12" t="s">
        <v>839</v>
      </c>
      <c r="L26" s="12" t="s">
        <v>841</v>
      </c>
      <c r="M26" s="12" t="s">
        <v>841</v>
      </c>
      <c r="N26" s="12" t="s">
        <v>163</v>
      </c>
      <c r="O26" s="9">
        <v>2014</v>
      </c>
      <c r="P26" s="9" t="s">
        <v>1177</v>
      </c>
      <c r="Q26" s="52">
        <v>500000</v>
      </c>
      <c r="R26" s="73">
        <f t="shared" si="1"/>
        <v>1</v>
      </c>
      <c r="S26" s="62">
        <v>0.05</v>
      </c>
      <c r="T26" s="59">
        <v>0.19</v>
      </c>
      <c r="U26" s="59">
        <v>0.58</v>
      </c>
      <c r="V26" s="59">
        <v>0.18</v>
      </c>
      <c r="W26" s="59">
        <v>0</v>
      </c>
      <c r="X26" s="59">
        <v>0</v>
      </c>
      <c r="Y26" s="24">
        <v>40</v>
      </c>
      <c r="Z26" s="24">
        <v>38</v>
      </c>
      <c r="AA26" s="24">
        <v>2</v>
      </c>
      <c r="AB26" s="24">
        <v>40</v>
      </c>
      <c r="AC26" s="24">
        <v>0</v>
      </c>
      <c r="AD26" s="24"/>
      <c r="AE26" s="24"/>
      <c r="AF26" s="24">
        <v>36</v>
      </c>
      <c r="AG26" s="24">
        <v>4</v>
      </c>
      <c r="AH26" s="12" t="s">
        <v>864</v>
      </c>
      <c r="AI26" s="12" t="s">
        <v>880</v>
      </c>
      <c r="AJ26" s="9">
        <v>4</v>
      </c>
      <c r="AK26" s="12"/>
      <c r="AL26" s="12" t="s">
        <v>163</v>
      </c>
      <c r="AM26" s="12" t="s">
        <v>163</v>
      </c>
      <c r="AN26" s="12" t="s">
        <v>164</v>
      </c>
      <c r="AO26" s="12" t="s">
        <v>164</v>
      </c>
      <c r="AP26" s="12" t="s">
        <v>164</v>
      </c>
      <c r="AQ26" s="12"/>
      <c r="AS26" s="35" t="s">
        <v>164</v>
      </c>
      <c r="AT26" s="12" t="s">
        <v>163</v>
      </c>
      <c r="AU26" s="12" t="s">
        <v>164</v>
      </c>
      <c r="AV26" s="12" t="s">
        <v>164</v>
      </c>
      <c r="AX26" s="48">
        <v>2000</v>
      </c>
      <c r="AY26" s="48">
        <v>500</v>
      </c>
      <c r="BA26" s="12" t="s">
        <v>163</v>
      </c>
      <c r="BB26" s="12" t="s">
        <v>164</v>
      </c>
      <c r="BC26" s="12" t="s">
        <v>163</v>
      </c>
      <c r="BD26" s="12" t="s">
        <v>163</v>
      </c>
      <c r="BE26" s="12" t="s">
        <v>482</v>
      </c>
      <c r="BG26" s="36" t="s">
        <v>510</v>
      </c>
      <c r="BH26" s="12" t="s">
        <v>291</v>
      </c>
      <c r="BI26" s="12" t="s">
        <v>163</v>
      </c>
      <c r="BJ26" s="12" t="s">
        <v>164</v>
      </c>
      <c r="BK26" s="12" t="s">
        <v>163</v>
      </c>
      <c r="BL26" s="12" t="s">
        <v>511</v>
      </c>
      <c r="BM26" s="12" t="s">
        <v>163</v>
      </c>
      <c r="BN26" s="12" t="s">
        <v>1146</v>
      </c>
      <c r="BO26" s="12" t="s">
        <v>163</v>
      </c>
      <c r="BP26" s="12" t="s">
        <v>164</v>
      </c>
      <c r="BQ26" s="12" t="s">
        <v>163</v>
      </c>
      <c r="BR26" s="12" t="s">
        <v>163</v>
      </c>
      <c r="BS26" s="12" t="s">
        <v>653</v>
      </c>
      <c r="BT26" s="12" t="s">
        <v>163</v>
      </c>
      <c r="BU26" s="12" t="s">
        <v>654</v>
      </c>
      <c r="BV26" s="12" t="s">
        <v>163</v>
      </c>
      <c r="BW26" s="12" t="s">
        <v>655</v>
      </c>
      <c r="BX26" s="12" t="s">
        <v>163</v>
      </c>
      <c r="BY26" s="12" t="s">
        <v>163</v>
      </c>
      <c r="BZ26" s="12" t="s">
        <v>656</v>
      </c>
      <c r="CA26" s="12" t="s">
        <v>164</v>
      </c>
      <c r="CB26" s="12" t="s">
        <v>164</v>
      </c>
      <c r="CC26" s="12" t="s">
        <v>164</v>
      </c>
      <c r="CD26" s="12" t="s">
        <v>163</v>
      </c>
      <c r="CE26" s="12" t="s">
        <v>164</v>
      </c>
      <c r="CF26" s="12" t="s">
        <v>163</v>
      </c>
      <c r="CG26" s="12" t="s">
        <v>163</v>
      </c>
      <c r="CH26" s="12" t="s">
        <v>657</v>
      </c>
      <c r="CI26" s="12" t="s">
        <v>163</v>
      </c>
      <c r="CJ26" s="12" t="s">
        <v>1147</v>
      </c>
      <c r="CK26" s="12" t="s">
        <v>1148</v>
      </c>
      <c r="CL26" s="12" t="s">
        <v>1149</v>
      </c>
      <c r="CM26" s="12" t="s">
        <v>163</v>
      </c>
      <c r="CN26" s="12" t="s">
        <v>163</v>
      </c>
      <c r="CO26" s="12" t="s">
        <v>1149</v>
      </c>
      <c r="CP26" s="49">
        <v>0</v>
      </c>
      <c r="CQ26" s="12" t="s">
        <v>163</v>
      </c>
      <c r="CR26" s="12" t="s">
        <v>749</v>
      </c>
      <c r="CS26" s="12" t="s">
        <v>1189</v>
      </c>
      <c r="CT26" s="12" t="s">
        <v>751</v>
      </c>
      <c r="CU26" s="12" t="s">
        <v>1190</v>
      </c>
      <c r="CV26" s="12" t="s">
        <v>749</v>
      </c>
      <c r="CW26" s="9" t="s">
        <v>1191</v>
      </c>
      <c r="CX26" s="12" t="s">
        <v>1192</v>
      </c>
      <c r="CY26" s="12" t="s">
        <v>1193</v>
      </c>
      <c r="CZ26" s="12" t="s">
        <v>841</v>
      </c>
      <c r="DA26" s="12" t="s">
        <v>838</v>
      </c>
      <c r="DB26" s="12" t="s">
        <v>838</v>
      </c>
    </row>
    <row r="27" spans="1:106" ht="12.75">
      <c r="A27" s="34" t="s">
        <v>149</v>
      </c>
      <c r="B27" s="34" t="s">
        <v>188</v>
      </c>
      <c r="C27" s="12" t="s">
        <v>277</v>
      </c>
      <c r="D27" s="34" t="s">
        <v>131</v>
      </c>
      <c r="E27" s="12">
        <v>1983</v>
      </c>
      <c r="F27" s="9">
        <v>18</v>
      </c>
      <c r="G27" s="35" t="s">
        <v>1194</v>
      </c>
      <c r="H27" s="35" t="s">
        <v>1195</v>
      </c>
      <c r="I27" s="12" t="s">
        <v>431</v>
      </c>
      <c r="J27" s="35" t="s">
        <v>1153</v>
      </c>
      <c r="K27" s="12" t="s">
        <v>841</v>
      </c>
      <c r="L27" s="12" t="s">
        <v>838</v>
      </c>
      <c r="M27" s="12" t="s">
        <v>839</v>
      </c>
      <c r="N27" s="12" t="s">
        <v>163</v>
      </c>
      <c r="O27" s="9">
        <v>2016</v>
      </c>
      <c r="P27" s="12" t="s">
        <v>1155</v>
      </c>
      <c r="Q27" s="63">
        <v>1100000</v>
      </c>
      <c r="R27" s="73">
        <f t="shared" si="1"/>
        <v>1</v>
      </c>
      <c r="S27" s="59">
        <v>0.07</v>
      </c>
      <c r="T27" s="59">
        <v>0.55</v>
      </c>
      <c r="U27" s="59">
        <v>0.05</v>
      </c>
      <c r="V27" s="59">
        <v>0.1</v>
      </c>
      <c r="W27" s="59">
        <v>0.1</v>
      </c>
      <c r="X27" s="59">
        <v>0.13</v>
      </c>
      <c r="Y27" s="64">
        <v>230</v>
      </c>
      <c r="Z27" s="64">
        <v>228</v>
      </c>
      <c r="AA27" s="64">
        <v>2</v>
      </c>
      <c r="AB27" s="64">
        <v>200</v>
      </c>
      <c r="AC27" s="64">
        <v>30</v>
      </c>
      <c r="AD27" s="64"/>
      <c r="AE27" s="64"/>
      <c r="AF27" s="64">
        <v>180</v>
      </c>
      <c r="AG27" s="64">
        <v>20</v>
      </c>
      <c r="AH27" s="12" t="s">
        <v>880</v>
      </c>
      <c r="AI27" s="12" t="s">
        <v>841</v>
      </c>
      <c r="AJ27" s="9">
        <v>8</v>
      </c>
      <c r="AL27" s="12" t="s">
        <v>163</v>
      </c>
      <c r="AM27" s="12" t="s">
        <v>163</v>
      </c>
      <c r="AN27" s="12" t="s">
        <v>163</v>
      </c>
      <c r="AO27" s="12" t="s">
        <v>163</v>
      </c>
      <c r="AP27" s="12" t="s">
        <v>164</v>
      </c>
      <c r="AS27" s="12" t="s">
        <v>163</v>
      </c>
      <c r="AT27" s="12" t="s">
        <v>164</v>
      </c>
      <c r="AU27" s="12" t="s">
        <v>163</v>
      </c>
      <c r="AV27" s="12" t="s">
        <v>164</v>
      </c>
      <c r="AW27" s="12"/>
      <c r="AX27" s="48">
        <v>575</v>
      </c>
      <c r="AY27" s="48">
        <v>175</v>
      </c>
      <c r="BA27" s="12" t="s">
        <v>163</v>
      </c>
      <c r="BB27" s="12" t="s">
        <v>164</v>
      </c>
      <c r="BC27" s="12" t="s">
        <v>163</v>
      </c>
      <c r="BD27" s="12" t="s">
        <v>163</v>
      </c>
      <c r="BE27" s="12" t="s">
        <v>1196</v>
      </c>
      <c r="BG27" s="12" t="s">
        <v>1197</v>
      </c>
      <c r="BH27" s="12" t="s">
        <v>164</v>
      </c>
      <c r="BI27" s="12" t="s">
        <v>163</v>
      </c>
      <c r="BJ27" s="12" t="s">
        <v>164</v>
      </c>
      <c r="BK27" s="12" t="s">
        <v>164</v>
      </c>
      <c r="BL27" s="12" t="s">
        <v>512</v>
      </c>
      <c r="BM27" s="12" t="s">
        <v>163</v>
      </c>
      <c r="BN27" s="12" t="s">
        <v>1198</v>
      </c>
      <c r="BO27" s="12" t="s">
        <v>164</v>
      </c>
      <c r="BP27" s="12" t="s">
        <v>164</v>
      </c>
      <c r="BQ27" s="35" t="s">
        <v>164</v>
      </c>
      <c r="BR27" s="12" t="s">
        <v>163</v>
      </c>
      <c r="BS27" s="12" t="s">
        <v>658</v>
      </c>
      <c r="BT27" s="12" t="s">
        <v>163</v>
      </c>
      <c r="BU27" s="12" t="s">
        <v>659</v>
      </c>
      <c r="BV27" s="9" t="s">
        <v>163</v>
      </c>
      <c r="BW27" s="12" t="s">
        <v>660</v>
      </c>
      <c r="BX27" s="12" t="s">
        <v>163</v>
      </c>
      <c r="BY27" s="12" t="s">
        <v>163</v>
      </c>
      <c r="BZ27" s="12" t="s">
        <v>661</v>
      </c>
      <c r="CA27" s="12" t="s">
        <v>164</v>
      </c>
      <c r="CB27" s="9" t="s">
        <v>164</v>
      </c>
      <c r="CC27" s="12" t="s">
        <v>163</v>
      </c>
      <c r="CD27" s="12" t="s">
        <v>164</v>
      </c>
      <c r="CE27" s="12" t="s">
        <v>163</v>
      </c>
      <c r="CF27" s="12" t="s">
        <v>430</v>
      </c>
      <c r="CG27" s="35" t="s">
        <v>164</v>
      </c>
      <c r="CI27" s="12" t="s">
        <v>163</v>
      </c>
      <c r="CJ27" s="12" t="s">
        <v>1199</v>
      </c>
      <c r="CK27" s="12" t="s">
        <v>1200</v>
      </c>
      <c r="CL27" s="12" t="s">
        <v>1201</v>
      </c>
      <c r="CM27" s="12" t="s">
        <v>163</v>
      </c>
      <c r="CN27" s="12" t="s">
        <v>163</v>
      </c>
      <c r="CO27" s="12" t="s">
        <v>1202</v>
      </c>
      <c r="CP27" s="49">
        <v>15000</v>
      </c>
      <c r="CQ27" s="12" t="s">
        <v>163</v>
      </c>
      <c r="CR27" s="12" t="s">
        <v>751</v>
      </c>
      <c r="CS27" s="12" t="s">
        <v>1163</v>
      </c>
      <c r="CT27" s="12" t="s">
        <v>749</v>
      </c>
      <c r="CU27" s="12" t="s">
        <v>1164</v>
      </c>
      <c r="CV27" s="12" t="s">
        <v>751</v>
      </c>
      <c r="CW27" s="12" t="s">
        <v>1165</v>
      </c>
      <c r="CX27" s="12" t="s">
        <v>749</v>
      </c>
      <c r="CY27" s="12" t="s">
        <v>1166</v>
      </c>
      <c r="CZ27" s="12" t="s">
        <v>841</v>
      </c>
      <c r="DA27" s="12" t="s">
        <v>841</v>
      </c>
      <c r="DB27" s="12" t="s">
        <v>841</v>
      </c>
    </row>
    <row r="28" spans="1:106" ht="12.75">
      <c r="A28" s="34" t="s">
        <v>150</v>
      </c>
      <c r="B28" s="3" t="s">
        <v>173</v>
      </c>
      <c r="C28" s="12" t="s">
        <v>278</v>
      </c>
      <c r="D28" s="34" t="s">
        <v>1167</v>
      </c>
      <c r="E28" s="3" t="s">
        <v>1168</v>
      </c>
      <c r="F28" s="9">
        <v>11</v>
      </c>
      <c r="G28" s="35" t="s">
        <v>835</v>
      </c>
      <c r="I28" s="35" t="s">
        <v>1169</v>
      </c>
      <c r="J28" s="35" t="s">
        <v>1208</v>
      </c>
      <c r="K28" s="35" t="s">
        <v>838</v>
      </c>
      <c r="L28" s="35" t="s">
        <v>838</v>
      </c>
      <c r="M28" s="35" t="s">
        <v>841</v>
      </c>
      <c r="N28" s="9" t="s">
        <v>163</v>
      </c>
      <c r="O28" s="9" t="s">
        <v>1209</v>
      </c>
      <c r="P28" s="9" t="s">
        <v>1210</v>
      </c>
      <c r="Q28" s="52">
        <v>500000</v>
      </c>
      <c r="R28" s="73">
        <f t="shared" si="1"/>
        <v>1</v>
      </c>
      <c r="S28" s="41">
        <v>0.22</v>
      </c>
      <c r="T28" s="41">
        <v>0.27</v>
      </c>
      <c r="U28" s="41">
        <v>0.16</v>
      </c>
      <c r="V28" s="41">
        <v>0.06</v>
      </c>
      <c r="W28" s="41">
        <v>0.29</v>
      </c>
      <c r="X28" s="41">
        <v>0</v>
      </c>
      <c r="Y28" s="64">
        <v>175</v>
      </c>
      <c r="Z28" s="64">
        <v>100</v>
      </c>
      <c r="AA28" s="64">
        <v>75</v>
      </c>
      <c r="AB28" s="64">
        <v>125</v>
      </c>
      <c r="AC28" s="64">
        <v>50</v>
      </c>
      <c r="AF28" s="9">
        <v>25</v>
      </c>
      <c r="AG28" s="9">
        <v>100</v>
      </c>
      <c r="AH28" s="35" t="s">
        <v>880</v>
      </c>
      <c r="AI28" s="35" t="s">
        <v>841</v>
      </c>
      <c r="AJ28" s="9">
        <v>6</v>
      </c>
      <c r="AL28" s="12" t="s">
        <v>163</v>
      </c>
      <c r="AM28" s="12" t="s">
        <v>163</v>
      </c>
      <c r="AN28" s="12" t="s">
        <v>163</v>
      </c>
      <c r="AO28" s="12" t="s">
        <v>163</v>
      </c>
      <c r="AP28" s="12" t="s">
        <v>163</v>
      </c>
      <c r="AS28" s="12" t="s">
        <v>164</v>
      </c>
      <c r="AT28" s="12" t="s">
        <v>163</v>
      </c>
      <c r="AU28" s="12" t="s">
        <v>164</v>
      </c>
      <c r="AV28" s="12" t="s">
        <v>164</v>
      </c>
      <c r="AW28" s="9" t="s">
        <v>1211</v>
      </c>
      <c r="AX28" s="48">
        <v>4500</v>
      </c>
      <c r="AY28" s="48">
        <v>50</v>
      </c>
      <c r="BA28" s="9" t="s">
        <v>163</v>
      </c>
      <c r="BB28" s="12" t="s">
        <v>163</v>
      </c>
      <c r="BC28" s="12" t="s">
        <v>163</v>
      </c>
      <c r="BD28" s="9" t="s">
        <v>163</v>
      </c>
      <c r="BE28" s="9" t="s">
        <v>1212</v>
      </c>
      <c r="BG28" s="9" t="s">
        <v>1213</v>
      </c>
      <c r="BH28" s="9" t="s">
        <v>1214</v>
      </c>
      <c r="BI28" s="12" t="s">
        <v>163</v>
      </c>
      <c r="BJ28" s="12" t="s">
        <v>164</v>
      </c>
      <c r="BK28" s="12" t="s">
        <v>164</v>
      </c>
      <c r="BL28" s="12" t="s">
        <v>513</v>
      </c>
      <c r="BM28" s="35" t="s">
        <v>163</v>
      </c>
      <c r="BN28" s="35" t="s">
        <v>1215</v>
      </c>
      <c r="BO28" s="12" t="s">
        <v>164</v>
      </c>
      <c r="BP28" s="12" t="s">
        <v>164</v>
      </c>
      <c r="BQ28" s="35" t="s">
        <v>163</v>
      </c>
      <c r="BR28" s="35" t="s">
        <v>430</v>
      </c>
      <c r="BS28" s="35" t="s">
        <v>662</v>
      </c>
      <c r="BT28" s="12" t="s">
        <v>163</v>
      </c>
      <c r="BU28" s="35" t="s">
        <v>663</v>
      </c>
      <c r="BV28" s="12" t="s">
        <v>164</v>
      </c>
      <c r="BX28" s="12" t="s">
        <v>163</v>
      </c>
      <c r="BY28" s="12" t="s">
        <v>164</v>
      </c>
      <c r="CA28" s="12" t="s">
        <v>164</v>
      </c>
      <c r="CB28" s="9" t="s">
        <v>164</v>
      </c>
      <c r="CC28" s="12" t="s">
        <v>163</v>
      </c>
      <c r="CD28" s="12" t="s">
        <v>164</v>
      </c>
      <c r="CE28" s="12" t="s">
        <v>163</v>
      </c>
      <c r="CF28" s="9" t="s">
        <v>431</v>
      </c>
      <c r="CG28" s="35" t="s">
        <v>164</v>
      </c>
      <c r="CI28" s="12" t="s">
        <v>163</v>
      </c>
      <c r="CJ28" s="12" t="s">
        <v>1216</v>
      </c>
      <c r="CK28" s="35" t="s">
        <v>946</v>
      </c>
      <c r="CL28" s="12" t="s">
        <v>1217</v>
      </c>
      <c r="CM28" s="12" t="s">
        <v>1218</v>
      </c>
      <c r="CN28" s="12" t="s">
        <v>163</v>
      </c>
      <c r="CO28" s="12" t="s">
        <v>1178</v>
      </c>
      <c r="CP28" s="49">
        <v>2500</v>
      </c>
      <c r="CQ28" s="12" t="s">
        <v>163</v>
      </c>
      <c r="CR28" s="35" t="s">
        <v>751</v>
      </c>
      <c r="CS28" s="12" t="s">
        <v>1179</v>
      </c>
      <c r="CT28" s="35" t="s">
        <v>749</v>
      </c>
      <c r="CU28" s="35" t="s">
        <v>1180</v>
      </c>
      <c r="CV28" s="35" t="s">
        <v>749</v>
      </c>
      <c r="CW28" s="35" t="s">
        <v>1180</v>
      </c>
      <c r="CX28" s="35" t="s">
        <v>749</v>
      </c>
      <c r="CY28" s="35" t="s">
        <v>1181</v>
      </c>
      <c r="CZ28" s="35" t="s">
        <v>841</v>
      </c>
      <c r="DA28" s="35" t="s">
        <v>841</v>
      </c>
      <c r="DB28" s="35" t="s">
        <v>838</v>
      </c>
    </row>
    <row r="29" spans="1:106" ht="12.75">
      <c r="A29" s="34" t="s">
        <v>155</v>
      </c>
      <c r="B29" s="34" t="s">
        <v>310</v>
      </c>
      <c r="C29" s="12" t="s">
        <v>351</v>
      </c>
      <c r="D29" s="34" t="s">
        <v>126</v>
      </c>
      <c r="E29" s="3">
        <v>1985</v>
      </c>
      <c r="F29" s="9">
        <v>17</v>
      </c>
      <c r="G29" s="12" t="s">
        <v>835</v>
      </c>
      <c r="I29" s="12" t="s">
        <v>856</v>
      </c>
      <c r="J29" s="35" t="s">
        <v>1182</v>
      </c>
      <c r="K29" s="12" t="s">
        <v>839</v>
      </c>
      <c r="L29" s="12" t="s">
        <v>838</v>
      </c>
      <c r="M29" s="12" t="s">
        <v>841</v>
      </c>
      <c r="N29" s="35" t="s">
        <v>164</v>
      </c>
      <c r="O29" s="9">
        <v>2013</v>
      </c>
      <c r="P29" s="35" t="s">
        <v>1183</v>
      </c>
      <c r="Q29" s="63">
        <v>1200000</v>
      </c>
      <c r="R29" s="54">
        <f t="shared" si="1"/>
        <v>1</v>
      </c>
      <c r="S29" s="54">
        <v>0.1</v>
      </c>
      <c r="T29" s="54">
        <v>0</v>
      </c>
      <c r="U29" s="54">
        <v>0.4</v>
      </c>
      <c r="V29" s="54">
        <v>0.1</v>
      </c>
      <c r="W29" s="54">
        <v>0</v>
      </c>
      <c r="X29" s="54">
        <v>0.4</v>
      </c>
      <c r="Y29" s="50">
        <v>600</v>
      </c>
      <c r="Z29" s="50">
        <v>400</v>
      </c>
      <c r="AA29" s="50">
        <v>200</v>
      </c>
      <c r="AB29" s="30">
        <v>480</v>
      </c>
      <c r="AC29" s="30">
        <v>120</v>
      </c>
      <c r="AD29" s="24"/>
      <c r="AE29" s="24"/>
      <c r="AF29" s="30">
        <v>480</v>
      </c>
      <c r="AG29" s="24">
        <v>0</v>
      </c>
      <c r="AH29" s="12" t="s">
        <v>864</v>
      </c>
      <c r="AI29" s="12" t="s">
        <v>841</v>
      </c>
      <c r="AJ29" s="9">
        <v>12</v>
      </c>
      <c r="AL29" s="12" t="s">
        <v>163</v>
      </c>
      <c r="AM29" s="12" t="s">
        <v>163</v>
      </c>
      <c r="AN29" s="12" t="s">
        <v>163</v>
      </c>
      <c r="AO29" s="12" t="s">
        <v>163</v>
      </c>
      <c r="AP29" s="12" t="s">
        <v>164</v>
      </c>
      <c r="AQ29" s="12" t="s">
        <v>914</v>
      </c>
      <c r="AS29" s="12" t="s">
        <v>163</v>
      </c>
      <c r="AT29" s="12" t="s">
        <v>430</v>
      </c>
      <c r="AU29" s="12" t="s">
        <v>430</v>
      </c>
      <c r="AV29" s="12" t="s">
        <v>164</v>
      </c>
      <c r="AX29" s="48">
        <v>500</v>
      </c>
      <c r="AY29" s="48">
        <v>5</v>
      </c>
      <c r="BA29" s="12" t="s">
        <v>163</v>
      </c>
      <c r="BB29" s="12" t="s">
        <v>163</v>
      </c>
      <c r="BC29" s="12" t="s">
        <v>164</v>
      </c>
      <c r="BD29" s="12" t="s">
        <v>163</v>
      </c>
      <c r="BG29" s="12" t="s">
        <v>1184</v>
      </c>
      <c r="BH29" s="12" t="s">
        <v>1185</v>
      </c>
      <c r="BI29" s="12" t="s">
        <v>163</v>
      </c>
      <c r="BJ29" s="12" t="s">
        <v>164</v>
      </c>
      <c r="BK29" s="12" t="s">
        <v>163</v>
      </c>
      <c r="BL29" s="12" t="s">
        <v>502</v>
      </c>
      <c r="BM29" s="12" t="s">
        <v>163</v>
      </c>
      <c r="BN29" s="12" t="s">
        <v>1186</v>
      </c>
      <c r="BO29" s="12" t="s">
        <v>163</v>
      </c>
      <c r="BP29" s="12" t="s">
        <v>163</v>
      </c>
      <c r="BQ29" s="12" t="s">
        <v>164</v>
      </c>
      <c r="BR29" s="12" t="s">
        <v>163</v>
      </c>
      <c r="BS29" s="12" t="s">
        <v>664</v>
      </c>
      <c r="BT29" s="12" t="s">
        <v>163</v>
      </c>
      <c r="BU29" s="12" t="s">
        <v>665</v>
      </c>
      <c r="BV29" s="12" t="s">
        <v>163</v>
      </c>
      <c r="BW29" s="12" t="s">
        <v>666</v>
      </c>
      <c r="BX29" s="12" t="s">
        <v>163</v>
      </c>
      <c r="BY29" s="12" t="s">
        <v>163</v>
      </c>
      <c r="BZ29" s="12" t="s">
        <v>667</v>
      </c>
      <c r="CA29" s="12" t="s">
        <v>164</v>
      </c>
      <c r="CB29" s="12" t="s">
        <v>164</v>
      </c>
      <c r="CC29" s="12" t="s">
        <v>163</v>
      </c>
      <c r="CD29" s="12" t="s">
        <v>164</v>
      </c>
      <c r="CE29" s="12" t="s">
        <v>163</v>
      </c>
      <c r="CF29" s="12" t="s">
        <v>164</v>
      </c>
      <c r="CG29" s="12" t="s">
        <v>163</v>
      </c>
      <c r="CH29" s="12" t="s">
        <v>668</v>
      </c>
      <c r="CI29" s="9" t="s">
        <v>164</v>
      </c>
      <c r="CM29" s="9" t="s">
        <v>1187</v>
      </c>
      <c r="CN29" s="9" t="s">
        <v>1187</v>
      </c>
      <c r="CO29" s="9" t="s">
        <v>1188</v>
      </c>
      <c r="CP29" s="49">
        <v>5000</v>
      </c>
      <c r="CQ29" s="9" t="s">
        <v>163</v>
      </c>
      <c r="CR29" s="9" t="s">
        <v>749</v>
      </c>
      <c r="CS29" s="9" t="s">
        <v>1221</v>
      </c>
      <c r="CT29" s="9" t="s">
        <v>749</v>
      </c>
      <c r="CU29" s="12" t="s">
        <v>1222</v>
      </c>
      <c r="CV29" s="9" t="s">
        <v>751</v>
      </c>
      <c r="CW29" s="9" t="s">
        <v>1223</v>
      </c>
      <c r="CX29" s="9" t="s">
        <v>751</v>
      </c>
      <c r="CY29" s="12" t="s">
        <v>1224</v>
      </c>
      <c r="CZ29" s="9" t="s">
        <v>839</v>
      </c>
      <c r="DA29" s="9" t="s">
        <v>880</v>
      </c>
      <c r="DB29" s="9" t="s">
        <v>864</v>
      </c>
    </row>
    <row r="30" spans="1:106" ht="12.75">
      <c r="A30" s="34" t="s">
        <v>155</v>
      </c>
      <c r="B30" s="34" t="s">
        <v>285</v>
      </c>
      <c r="C30" s="12" t="s">
        <v>279</v>
      </c>
      <c r="D30" s="34" t="s">
        <v>126</v>
      </c>
      <c r="E30" s="3">
        <v>1992</v>
      </c>
      <c r="F30" s="9">
        <v>15</v>
      </c>
      <c r="G30" s="12" t="s">
        <v>431</v>
      </c>
      <c r="J30" s="12" t="s">
        <v>1225</v>
      </c>
      <c r="K30" s="12" t="s">
        <v>839</v>
      </c>
      <c r="L30" s="12" t="s">
        <v>838</v>
      </c>
      <c r="M30" s="12" t="s">
        <v>841</v>
      </c>
      <c r="N30" s="12" t="s">
        <v>163</v>
      </c>
      <c r="O30" s="9">
        <v>2014</v>
      </c>
      <c r="P30" s="12" t="s">
        <v>1203</v>
      </c>
      <c r="Q30" s="63">
        <v>780000</v>
      </c>
      <c r="R30" s="48">
        <f t="shared" si="1"/>
        <v>780000</v>
      </c>
      <c r="S30" s="62">
        <v>35000</v>
      </c>
      <c r="T30" s="62">
        <v>105000</v>
      </c>
      <c r="U30" s="62">
        <v>330000</v>
      </c>
      <c r="V30" s="62">
        <v>187000</v>
      </c>
      <c r="W30" s="62">
        <v>109000</v>
      </c>
      <c r="X30" s="62">
        <v>14000</v>
      </c>
      <c r="Y30" s="9">
        <v>100</v>
      </c>
      <c r="Z30" s="9">
        <v>100</v>
      </c>
      <c r="AA30" s="9">
        <v>0</v>
      </c>
      <c r="AB30" s="9">
        <v>67</v>
      </c>
      <c r="AC30" s="9">
        <v>33</v>
      </c>
      <c r="AF30" s="30">
        <v>8</v>
      </c>
      <c r="AG30" s="30">
        <v>59</v>
      </c>
      <c r="AH30" s="12" t="s">
        <v>880</v>
      </c>
      <c r="AI30" s="12" t="s">
        <v>841</v>
      </c>
      <c r="AJ30" s="9">
        <v>7</v>
      </c>
      <c r="AL30" s="12" t="s">
        <v>163</v>
      </c>
      <c r="AM30" s="12" t="s">
        <v>163</v>
      </c>
      <c r="AN30" s="12" t="s">
        <v>163</v>
      </c>
      <c r="AO30" s="12" t="s">
        <v>163</v>
      </c>
      <c r="AP30" s="12" t="s">
        <v>163</v>
      </c>
      <c r="AQ30" s="12" t="s">
        <v>1204</v>
      </c>
      <c r="AS30" s="35" t="s">
        <v>164</v>
      </c>
      <c r="AT30" s="35" t="s">
        <v>163</v>
      </c>
      <c r="AU30" s="12" t="s">
        <v>164</v>
      </c>
      <c r="AV30" s="12" t="s">
        <v>163</v>
      </c>
      <c r="AW30" s="12" t="s">
        <v>1205</v>
      </c>
      <c r="AX30" s="48">
        <v>1500</v>
      </c>
      <c r="AY30" s="48">
        <v>100</v>
      </c>
      <c r="AZ30" s="35"/>
      <c r="BA30" s="12" t="s">
        <v>163</v>
      </c>
      <c r="BB30" s="12" t="s">
        <v>163</v>
      </c>
      <c r="BC30" s="12" t="s">
        <v>163</v>
      </c>
      <c r="BD30" s="12" t="s">
        <v>163</v>
      </c>
      <c r="BE30" s="12" t="s">
        <v>1206</v>
      </c>
      <c r="BG30" s="36" t="s">
        <v>514</v>
      </c>
      <c r="BH30" s="12" t="s">
        <v>1207</v>
      </c>
      <c r="BI30" s="12" t="s">
        <v>163</v>
      </c>
      <c r="BJ30" s="12" t="s">
        <v>515</v>
      </c>
      <c r="BK30" s="12" t="s">
        <v>163</v>
      </c>
      <c r="BL30" s="12" t="s">
        <v>502</v>
      </c>
      <c r="BM30" s="12" t="s">
        <v>163</v>
      </c>
      <c r="BN30" s="12" t="s">
        <v>1226</v>
      </c>
      <c r="BO30" s="12" t="s">
        <v>163</v>
      </c>
      <c r="BP30" s="12" t="s">
        <v>164</v>
      </c>
      <c r="BQ30" s="9" t="s">
        <v>163</v>
      </c>
      <c r="BR30" s="12" t="s">
        <v>163</v>
      </c>
      <c r="BS30" s="12" t="s">
        <v>671</v>
      </c>
      <c r="BT30" s="12" t="s">
        <v>163</v>
      </c>
      <c r="BU30" s="12" t="s">
        <v>628</v>
      </c>
      <c r="BV30" s="9" t="s">
        <v>163</v>
      </c>
      <c r="BW30" s="12" t="s">
        <v>629</v>
      </c>
      <c r="BX30" s="12" t="s">
        <v>163</v>
      </c>
      <c r="BY30" s="12" t="s">
        <v>163</v>
      </c>
      <c r="BZ30" s="12" t="s">
        <v>630</v>
      </c>
      <c r="CA30" s="12" t="s">
        <v>164</v>
      </c>
      <c r="CB30" s="12" t="s">
        <v>164</v>
      </c>
      <c r="CC30" s="12" t="s">
        <v>164</v>
      </c>
      <c r="CD30" s="12" t="s">
        <v>164</v>
      </c>
      <c r="CE30" s="12" t="s">
        <v>163</v>
      </c>
      <c r="CF30" s="12" t="s">
        <v>164</v>
      </c>
      <c r="CG30" s="12" t="s">
        <v>163</v>
      </c>
      <c r="CH30" s="12" t="s">
        <v>631</v>
      </c>
      <c r="CI30" s="12" t="s">
        <v>164</v>
      </c>
      <c r="CK30" s="12" t="s">
        <v>1227</v>
      </c>
      <c r="CL30" s="12" t="s">
        <v>1228</v>
      </c>
      <c r="CM30" s="12" t="s">
        <v>163</v>
      </c>
      <c r="CN30" s="12" t="s">
        <v>163</v>
      </c>
      <c r="CO30" s="12" t="s">
        <v>1231</v>
      </c>
      <c r="CP30" s="55">
        <v>10000</v>
      </c>
      <c r="CQ30" s="12" t="s">
        <v>163</v>
      </c>
      <c r="CR30" s="12" t="s">
        <v>751</v>
      </c>
      <c r="CS30" s="12" t="s">
        <v>1232</v>
      </c>
      <c r="CT30" s="12" t="s">
        <v>749</v>
      </c>
      <c r="CU30" s="12" t="s">
        <v>1233</v>
      </c>
      <c r="CV30" s="12" t="s">
        <v>751</v>
      </c>
      <c r="CW30" s="12" t="s">
        <v>1234</v>
      </c>
      <c r="CX30" s="12" t="s">
        <v>749</v>
      </c>
      <c r="CY30" s="12" t="s">
        <v>1235</v>
      </c>
      <c r="CZ30" s="12" t="s">
        <v>841</v>
      </c>
      <c r="DA30" s="12" t="s">
        <v>841</v>
      </c>
      <c r="DB30" s="12" t="s">
        <v>841</v>
      </c>
    </row>
    <row r="31" spans="1:106" ht="12.75">
      <c r="A31" s="34" t="s">
        <v>147</v>
      </c>
      <c r="B31" s="3" t="s">
        <v>311</v>
      </c>
      <c r="C31" s="12" t="s">
        <v>353</v>
      </c>
      <c r="D31" s="34" t="s">
        <v>127</v>
      </c>
      <c r="E31" s="3">
        <v>1992</v>
      </c>
      <c r="F31" s="9">
        <v>7</v>
      </c>
      <c r="G31" s="9" t="s">
        <v>835</v>
      </c>
      <c r="I31" s="9" t="s">
        <v>1236</v>
      </c>
      <c r="J31" s="9" t="s">
        <v>1237</v>
      </c>
      <c r="K31" s="9" t="s">
        <v>841</v>
      </c>
      <c r="L31" s="9" t="s">
        <v>841</v>
      </c>
      <c r="M31" s="9" t="s">
        <v>864</v>
      </c>
      <c r="N31" s="9" t="s">
        <v>163</v>
      </c>
      <c r="O31" s="9">
        <v>2016</v>
      </c>
      <c r="P31" s="35" t="s">
        <v>1219</v>
      </c>
      <c r="Q31" s="52">
        <v>300000</v>
      </c>
      <c r="R31" s="73">
        <f t="shared" si="1"/>
        <v>1</v>
      </c>
      <c r="S31" s="54">
        <v>0.06</v>
      </c>
      <c r="T31" s="54">
        <v>0.61</v>
      </c>
      <c r="U31" s="54">
        <v>0</v>
      </c>
      <c r="V31" s="54">
        <v>0.31</v>
      </c>
      <c r="W31" s="54">
        <v>0</v>
      </c>
      <c r="X31" s="54">
        <v>0.02</v>
      </c>
      <c r="Y31" s="74">
        <v>20</v>
      </c>
      <c r="Z31" s="74">
        <v>20</v>
      </c>
      <c r="AA31" s="74">
        <v>0</v>
      </c>
      <c r="AB31" s="24">
        <v>20</v>
      </c>
      <c r="AC31" s="24">
        <v>0</v>
      </c>
      <c r="AD31" s="24"/>
      <c r="AE31" s="24"/>
      <c r="AF31" s="24">
        <v>20</v>
      </c>
      <c r="AG31" s="24">
        <v>0</v>
      </c>
      <c r="AH31" s="12" t="s">
        <v>841</v>
      </c>
      <c r="AI31" s="9" t="s">
        <v>838</v>
      </c>
      <c r="AJ31" s="9">
        <v>8</v>
      </c>
      <c r="AL31" s="9" t="s">
        <v>164</v>
      </c>
      <c r="AM31" s="12" t="s">
        <v>163</v>
      </c>
      <c r="AN31" s="12" t="s">
        <v>163</v>
      </c>
      <c r="AO31" s="12" t="s">
        <v>163</v>
      </c>
      <c r="AP31" s="12" t="s">
        <v>164</v>
      </c>
      <c r="AQ31" s="12" t="s">
        <v>1220</v>
      </c>
      <c r="AS31" s="12" t="s">
        <v>163</v>
      </c>
      <c r="AT31" s="12" t="s">
        <v>164</v>
      </c>
      <c r="AU31" s="12" t="s">
        <v>164</v>
      </c>
      <c r="AV31" s="12" t="s">
        <v>164</v>
      </c>
      <c r="AX31" s="48">
        <v>800</v>
      </c>
      <c r="AY31" s="48">
        <v>400</v>
      </c>
      <c r="BA31" s="12" t="s">
        <v>163</v>
      </c>
      <c r="BB31" s="12" t="s">
        <v>164</v>
      </c>
      <c r="BC31" s="12" t="s">
        <v>163</v>
      </c>
      <c r="BD31" s="12" t="s">
        <v>163</v>
      </c>
      <c r="BG31" s="36" t="s">
        <v>516</v>
      </c>
      <c r="BH31" s="12" t="s">
        <v>164</v>
      </c>
      <c r="BI31" s="12" t="s">
        <v>164</v>
      </c>
      <c r="BJ31" s="12" t="s">
        <v>164</v>
      </c>
      <c r="BK31" s="12" t="s">
        <v>164</v>
      </c>
      <c r="BL31" s="12" t="s">
        <v>847</v>
      </c>
      <c r="BM31" s="9" t="s">
        <v>163</v>
      </c>
      <c r="BN31" s="12" t="s">
        <v>1263</v>
      </c>
      <c r="BO31" s="12" t="s">
        <v>164</v>
      </c>
      <c r="BP31" s="12" t="s">
        <v>164</v>
      </c>
      <c r="BQ31" s="9" t="s">
        <v>163</v>
      </c>
      <c r="BR31" s="35" t="s">
        <v>163</v>
      </c>
      <c r="BS31" s="12" t="s">
        <v>673</v>
      </c>
      <c r="BT31" s="12" t="s">
        <v>163</v>
      </c>
      <c r="BU31" s="35" t="s">
        <v>674</v>
      </c>
      <c r="BV31" s="35" t="s">
        <v>163</v>
      </c>
      <c r="BW31" s="12" t="s">
        <v>675</v>
      </c>
      <c r="BX31" s="12" t="s">
        <v>163</v>
      </c>
      <c r="BY31" s="12" t="s">
        <v>163</v>
      </c>
      <c r="BZ31" s="12" t="s">
        <v>676</v>
      </c>
      <c r="CA31" s="12" t="s">
        <v>164</v>
      </c>
      <c r="CB31" s="12" t="s">
        <v>163</v>
      </c>
      <c r="CC31" s="12" t="s">
        <v>163</v>
      </c>
      <c r="CD31" s="12" t="s">
        <v>163</v>
      </c>
      <c r="CE31" s="12" t="s">
        <v>163</v>
      </c>
      <c r="CF31" s="12" t="s">
        <v>164</v>
      </c>
      <c r="CG31" s="12" t="s">
        <v>163</v>
      </c>
      <c r="CH31" s="9" t="s">
        <v>677</v>
      </c>
      <c r="CI31" s="9" t="s">
        <v>163</v>
      </c>
      <c r="CJ31" s="9" t="s">
        <v>1147</v>
      </c>
      <c r="CK31" s="9" t="s">
        <v>1264</v>
      </c>
      <c r="CL31" s="9" t="s">
        <v>1265</v>
      </c>
      <c r="CM31" s="12" t="s">
        <v>163</v>
      </c>
      <c r="CN31" s="12" t="s">
        <v>163</v>
      </c>
      <c r="CO31" s="9" t="s">
        <v>1266</v>
      </c>
      <c r="CP31" s="55" t="s">
        <v>1267</v>
      </c>
      <c r="CQ31" s="12" t="s">
        <v>1268</v>
      </c>
      <c r="CR31" s="9" t="s">
        <v>749</v>
      </c>
      <c r="CS31" s="9" t="s">
        <v>1269</v>
      </c>
      <c r="CT31" s="9" t="s">
        <v>749</v>
      </c>
      <c r="CU31" s="12" t="s">
        <v>1270</v>
      </c>
      <c r="CV31" s="9" t="s">
        <v>749</v>
      </c>
      <c r="CW31" s="9" t="s">
        <v>1271</v>
      </c>
      <c r="CX31" s="9" t="s">
        <v>749</v>
      </c>
      <c r="CY31" s="9" t="s">
        <v>1238</v>
      </c>
      <c r="CZ31" s="9" t="s">
        <v>838</v>
      </c>
      <c r="DA31" s="9" t="s">
        <v>838</v>
      </c>
      <c r="DB31" s="9" t="s">
        <v>864</v>
      </c>
    </row>
    <row r="32" spans="1:106" ht="12.75">
      <c r="A32" s="34" t="s">
        <v>151</v>
      </c>
      <c r="B32" s="12" t="s">
        <v>289</v>
      </c>
      <c r="C32" s="12" t="s">
        <v>282</v>
      </c>
      <c r="D32" s="34" t="s">
        <v>132</v>
      </c>
      <c r="E32" s="10">
        <v>1994</v>
      </c>
      <c r="F32" s="9">
        <v>14</v>
      </c>
      <c r="G32" s="9" t="s">
        <v>897</v>
      </c>
      <c r="I32" s="9" t="s">
        <v>1239</v>
      </c>
      <c r="J32" s="9" t="s">
        <v>1240</v>
      </c>
      <c r="K32" s="9" t="s">
        <v>841</v>
      </c>
      <c r="L32" s="9" t="s">
        <v>838</v>
      </c>
      <c r="M32" s="9" t="s">
        <v>841</v>
      </c>
      <c r="O32" s="9">
        <v>2017</v>
      </c>
      <c r="P32" s="9" t="s">
        <v>1243</v>
      </c>
      <c r="Q32" s="52">
        <v>755000</v>
      </c>
      <c r="R32" s="73">
        <f t="shared" si="1"/>
        <v>1</v>
      </c>
      <c r="S32" s="41">
        <v>0.05</v>
      </c>
      <c r="T32" s="41">
        <v>0.1</v>
      </c>
      <c r="U32" s="41">
        <v>0.45</v>
      </c>
      <c r="V32" s="41">
        <v>0.2</v>
      </c>
      <c r="W32" s="41">
        <v>0.15</v>
      </c>
      <c r="X32" s="41">
        <v>0.05</v>
      </c>
      <c r="Y32" s="53">
        <v>70</v>
      </c>
      <c r="Z32" s="53">
        <v>69</v>
      </c>
      <c r="AA32" s="53">
        <v>1</v>
      </c>
      <c r="AB32" s="53">
        <v>49</v>
      </c>
      <c r="AC32" s="53">
        <v>21</v>
      </c>
      <c r="AF32" s="24">
        <v>42</v>
      </c>
      <c r="AG32" s="24">
        <v>7</v>
      </c>
      <c r="AH32" s="9" t="s">
        <v>864</v>
      </c>
      <c r="AI32" s="9" t="s">
        <v>841</v>
      </c>
      <c r="AJ32" s="9">
        <v>8</v>
      </c>
      <c r="AL32" s="12" t="s">
        <v>163</v>
      </c>
      <c r="AM32" s="12" t="s">
        <v>163</v>
      </c>
      <c r="AN32" s="12" t="s">
        <v>163</v>
      </c>
      <c r="AO32" s="12" t="s">
        <v>163</v>
      </c>
      <c r="AP32" s="9" t="s">
        <v>164</v>
      </c>
      <c r="AQ32" s="12" t="s">
        <v>1244</v>
      </c>
      <c r="AS32" s="9" t="s">
        <v>163</v>
      </c>
      <c r="AT32" s="12" t="s">
        <v>163</v>
      </c>
      <c r="AU32" s="12" t="s">
        <v>163</v>
      </c>
      <c r="AV32" s="12" t="s">
        <v>164</v>
      </c>
      <c r="AW32" s="12" t="s">
        <v>1245</v>
      </c>
      <c r="AX32" s="48">
        <v>750</v>
      </c>
      <c r="AY32" s="48">
        <v>50</v>
      </c>
      <c r="BA32" s="9" t="s">
        <v>163</v>
      </c>
      <c r="BB32" s="12" t="s">
        <v>163</v>
      </c>
      <c r="BC32" s="9" t="s">
        <v>164</v>
      </c>
      <c r="BD32" s="9" t="s">
        <v>163</v>
      </c>
      <c r="BE32" s="9" t="s">
        <v>1246</v>
      </c>
      <c r="BG32" s="36" t="s">
        <v>1247</v>
      </c>
      <c r="BH32" s="9" t="s">
        <v>1248</v>
      </c>
      <c r="BI32" s="12" t="s">
        <v>163</v>
      </c>
      <c r="BJ32" s="12" t="s">
        <v>164</v>
      </c>
      <c r="BK32" s="12" t="s">
        <v>163</v>
      </c>
      <c r="BL32" s="12" t="s">
        <v>847</v>
      </c>
      <c r="BM32" s="9" t="s">
        <v>163</v>
      </c>
      <c r="BN32" s="12" t="s">
        <v>1249</v>
      </c>
      <c r="BO32" s="12" t="s">
        <v>163</v>
      </c>
      <c r="BP32" s="12" t="s">
        <v>163</v>
      </c>
      <c r="BQ32" s="35" t="s">
        <v>164</v>
      </c>
      <c r="BR32" s="9" t="s">
        <v>430</v>
      </c>
      <c r="BS32" s="12" t="s">
        <v>678</v>
      </c>
      <c r="BT32" s="12" t="s">
        <v>163</v>
      </c>
      <c r="BU32" s="9" t="s">
        <v>679</v>
      </c>
      <c r="BV32" s="9" t="s">
        <v>163</v>
      </c>
      <c r="BW32" s="12" t="s">
        <v>680</v>
      </c>
      <c r="BX32" s="35" t="s">
        <v>164</v>
      </c>
      <c r="BY32" s="12" t="s">
        <v>163</v>
      </c>
      <c r="BZ32" s="12" t="s">
        <v>681</v>
      </c>
      <c r="CA32" s="12" t="s">
        <v>164</v>
      </c>
      <c r="CB32" s="9" t="s">
        <v>164</v>
      </c>
      <c r="CC32" s="12" t="s">
        <v>163</v>
      </c>
      <c r="CD32" s="12" t="s">
        <v>164</v>
      </c>
      <c r="CE32" s="12" t="s">
        <v>163</v>
      </c>
      <c r="CF32" s="9" t="s">
        <v>431</v>
      </c>
      <c r="CG32" s="35" t="s">
        <v>164</v>
      </c>
      <c r="CI32" s="12" t="s">
        <v>163</v>
      </c>
      <c r="CJ32" s="9" t="s">
        <v>1250</v>
      </c>
      <c r="CK32" s="9" t="s">
        <v>1251</v>
      </c>
      <c r="CL32" s="12" t="s">
        <v>1252</v>
      </c>
      <c r="CM32" s="12" t="s">
        <v>163</v>
      </c>
      <c r="CN32" s="12" t="s">
        <v>163</v>
      </c>
      <c r="CO32" s="12" t="s">
        <v>1289</v>
      </c>
      <c r="CP32" s="49">
        <v>2500</v>
      </c>
      <c r="CQ32" s="12" t="s">
        <v>1290</v>
      </c>
      <c r="CR32" s="9" t="s">
        <v>751</v>
      </c>
      <c r="CS32" s="12" t="s">
        <v>1291</v>
      </c>
      <c r="CT32" s="9" t="s">
        <v>1292</v>
      </c>
      <c r="CU32" s="9" t="s">
        <v>1293</v>
      </c>
      <c r="CV32" s="9" t="s">
        <v>749</v>
      </c>
      <c r="CW32" s="9" t="s">
        <v>1253</v>
      </c>
      <c r="CX32" s="9" t="s">
        <v>749</v>
      </c>
      <c r="CY32" s="9" t="s">
        <v>1254</v>
      </c>
      <c r="CZ32" s="9" t="s">
        <v>841</v>
      </c>
      <c r="DA32" s="9" t="s">
        <v>837</v>
      </c>
      <c r="DB32" s="9" t="s">
        <v>838</v>
      </c>
    </row>
    <row r="33" spans="1:106" ht="12.75">
      <c r="A33" s="34" t="s">
        <v>337</v>
      </c>
      <c r="B33" s="34" t="s">
        <v>379</v>
      </c>
      <c r="C33" s="12" t="s">
        <v>553</v>
      </c>
      <c r="D33" s="34" t="s">
        <v>1255</v>
      </c>
      <c r="E33" s="3">
        <v>2000</v>
      </c>
      <c r="F33" s="9">
        <v>12</v>
      </c>
      <c r="G33" s="9" t="s">
        <v>835</v>
      </c>
      <c r="I33" s="9" t="s">
        <v>1229</v>
      </c>
      <c r="J33" s="9" t="s">
        <v>1230</v>
      </c>
      <c r="K33" s="9" t="s">
        <v>841</v>
      </c>
      <c r="L33" s="9" t="s">
        <v>838</v>
      </c>
      <c r="M33" s="9" t="s">
        <v>841</v>
      </c>
      <c r="N33" s="9" t="s">
        <v>163</v>
      </c>
      <c r="O33" s="9">
        <v>2014</v>
      </c>
      <c r="P33" s="9" t="s">
        <v>1258</v>
      </c>
      <c r="Q33" s="52">
        <v>676000</v>
      </c>
      <c r="R33" s="73">
        <f t="shared" si="1"/>
        <v>0.66</v>
      </c>
      <c r="S33" s="54">
        <v>0.01</v>
      </c>
      <c r="T33" s="54">
        <v>0.18</v>
      </c>
      <c r="U33" s="54">
        <v>0.26</v>
      </c>
      <c r="V33" s="54">
        <v>0.03</v>
      </c>
      <c r="W33" s="54">
        <v>0.01</v>
      </c>
      <c r="X33" s="54">
        <v>0.17</v>
      </c>
      <c r="Y33" s="19">
        <v>65</v>
      </c>
      <c r="Z33" s="74">
        <v>65</v>
      </c>
      <c r="AA33" s="74">
        <v>0</v>
      </c>
      <c r="AB33" s="24">
        <v>61</v>
      </c>
      <c r="AC33" s="24">
        <v>4</v>
      </c>
      <c r="AD33" s="24"/>
      <c r="AE33" s="24"/>
      <c r="AF33" s="24">
        <v>5</v>
      </c>
      <c r="AG33" s="30">
        <v>1</v>
      </c>
      <c r="AH33" s="9" t="s">
        <v>838</v>
      </c>
      <c r="AI33" s="9" t="s">
        <v>841</v>
      </c>
      <c r="AJ33" s="9">
        <v>2</v>
      </c>
      <c r="AL33" s="9" t="s">
        <v>164</v>
      </c>
      <c r="AM33" s="12" t="s">
        <v>163</v>
      </c>
      <c r="AN33" s="12" t="s">
        <v>163</v>
      </c>
      <c r="AO33" s="12" t="s">
        <v>163</v>
      </c>
      <c r="AP33" s="12" t="s">
        <v>164</v>
      </c>
      <c r="AQ33" s="9" t="s">
        <v>1259</v>
      </c>
      <c r="AS33" s="12" t="s">
        <v>163</v>
      </c>
      <c r="AT33" s="12" t="s">
        <v>163</v>
      </c>
      <c r="AU33" s="12" t="s">
        <v>163</v>
      </c>
      <c r="AV33" s="12" t="s">
        <v>164</v>
      </c>
      <c r="AX33" s="48">
        <v>500</v>
      </c>
      <c r="AY33" s="48">
        <v>50</v>
      </c>
      <c r="BA33" s="9" t="s">
        <v>163</v>
      </c>
      <c r="BB33" s="12" t="s">
        <v>164</v>
      </c>
      <c r="BC33" s="12" t="s">
        <v>164</v>
      </c>
      <c r="BD33" s="12" t="s">
        <v>163</v>
      </c>
      <c r="BE33" s="12" t="s">
        <v>1260</v>
      </c>
      <c r="BG33" s="36" t="s">
        <v>1261</v>
      </c>
      <c r="BH33" s="9" t="s">
        <v>1262</v>
      </c>
      <c r="BI33" s="12" t="s">
        <v>163</v>
      </c>
      <c r="BJ33" s="9" t="s">
        <v>517</v>
      </c>
      <c r="BK33" s="12" t="s">
        <v>164</v>
      </c>
      <c r="BL33" s="12" t="s">
        <v>905</v>
      </c>
      <c r="BM33" s="35" t="s">
        <v>163</v>
      </c>
      <c r="BN33" s="12" t="s">
        <v>1309</v>
      </c>
      <c r="BO33" s="12" t="s">
        <v>163</v>
      </c>
      <c r="BP33" s="12" t="s">
        <v>163</v>
      </c>
      <c r="BQ33" s="35" t="s">
        <v>164</v>
      </c>
      <c r="BR33" s="35" t="s">
        <v>163</v>
      </c>
      <c r="BS33" s="9" t="s">
        <v>682</v>
      </c>
      <c r="BT33" s="9" t="s">
        <v>163</v>
      </c>
      <c r="BU33" s="9" t="s">
        <v>683</v>
      </c>
      <c r="BV33" s="9" t="s">
        <v>163</v>
      </c>
      <c r="BW33" s="9" t="s">
        <v>684</v>
      </c>
      <c r="BX33" s="9" t="s">
        <v>164</v>
      </c>
      <c r="BY33" s="12" t="s">
        <v>163</v>
      </c>
      <c r="BZ33" s="12" t="s">
        <v>685</v>
      </c>
      <c r="CA33" s="9" t="s">
        <v>164</v>
      </c>
      <c r="CB33" s="9" t="s">
        <v>164</v>
      </c>
      <c r="CC33" s="9" t="s">
        <v>163</v>
      </c>
      <c r="CD33" s="12" t="s">
        <v>164</v>
      </c>
      <c r="CE33" s="12" t="s">
        <v>163</v>
      </c>
      <c r="CF33" s="12" t="s">
        <v>164</v>
      </c>
      <c r="CG33" s="12" t="s">
        <v>163</v>
      </c>
      <c r="CH33" s="12" t="s">
        <v>686</v>
      </c>
      <c r="CI33" s="12" t="s">
        <v>163</v>
      </c>
      <c r="CJ33" s="9" t="s">
        <v>1310</v>
      </c>
      <c r="CK33" s="9" t="s">
        <v>1311</v>
      </c>
      <c r="CL33" s="12" t="s">
        <v>1312</v>
      </c>
      <c r="CM33" s="12" t="s">
        <v>163</v>
      </c>
      <c r="CN33" s="12" t="s">
        <v>163</v>
      </c>
      <c r="CO33" s="12" t="s">
        <v>1313</v>
      </c>
      <c r="CP33" s="49">
        <v>3000</v>
      </c>
      <c r="CQ33" s="12" t="s">
        <v>163</v>
      </c>
      <c r="CR33" s="35" t="s">
        <v>749</v>
      </c>
      <c r="CS33" s="9" t="s">
        <v>1314</v>
      </c>
      <c r="CT33" s="9" t="s">
        <v>749</v>
      </c>
      <c r="CU33" s="12" t="s">
        <v>1315</v>
      </c>
      <c r="CV33" s="9" t="s">
        <v>749</v>
      </c>
      <c r="CW33" s="9" t="s">
        <v>1272</v>
      </c>
      <c r="CX33" s="9" t="s">
        <v>749</v>
      </c>
      <c r="CY33" s="12" t="s">
        <v>1273</v>
      </c>
      <c r="CZ33" s="9" t="s">
        <v>839</v>
      </c>
      <c r="DA33" s="9" t="s">
        <v>841</v>
      </c>
      <c r="DB33" s="9" t="s">
        <v>839</v>
      </c>
    </row>
    <row r="34" spans="1:106" ht="12.75">
      <c r="A34" s="34" t="s">
        <v>156</v>
      </c>
      <c r="B34" s="12" t="s">
        <v>290</v>
      </c>
      <c r="C34" s="12" t="s">
        <v>288</v>
      </c>
      <c r="D34" s="34" t="s">
        <v>133</v>
      </c>
      <c r="E34" s="3">
        <v>1995</v>
      </c>
      <c r="F34" s="9">
        <v>15</v>
      </c>
      <c r="G34" s="35" t="s">
        <v>835</v>
      </c>
      <c r="H34" s="35" t="s">
        <v>430</v>
      </c>
      <c r="I34" s="35" t="s">
        <v>292</v>
      </c>
      <c r="J34" s="35" t="s">
        <v>1274</v>
      </c>
      <c r="K34" s="35" t="s">
        <v>841</v>
      </c>
      <c r="L34" s="35" t="s">
        <v>841</v>
      </c>
      <c r="M34" s="35" t="s">
        <v>841</v>
      </c>
      <c r="N34" s="9" t="s">
        <v>163</v>
      </c>
      <c r="O34" s="9">
        <v>2019</v>
      </c>
      <c r="P34" s="9" t="s">
        <v>1241</v>
      </c>
      <c r="Q34" s="52">
        <v>284000</v>
      </c>
      <c r="R34" s="48">
        <f t="shared" si="1"/>
        <v>284000</v>
      </c>
      <c r="S34" s="48">
        <v>96000</v>
      </c>
      <c r="T34" s="48">
        <v>0</v>
      </c>
      <c r="U34" s="48">
        <v>0</v>
      </c>
      <c r="V34" s="48">
        <v>116000</v>
      </c>
      <c r="W34" s="48">
        <v>41000</v>
      </c>
      <c r="X34" s="48">
        <v>31000</v>
      </c>
      <c r="Y34" s="9">
        <v>120</v>
      </c>
      <c r="Z34" s="24">
        <v>114</v>
      </c>
      <c r="AA34" s="24">
        <v>6</v>
      </c>
      <c r="AB34" s="24">
        <v>108</v>
      </c>
      <c r="AC34" s="24">
        <v>12</v>
      </c>
      <c r="AF34" s="33">
        <v>87</v>
      </c>
      <c r="AG34" s="45">
        <v>21</v>
      </c>
      <c r="AH34" s="35" t="s">
        <v>864</v>
      </c>
      <c r="AI34" s="35" t="s">
        <v>841</v>
      </c>
      <c r="AJ34" s="9">
        <v>1</v>
      </c>
      <c r="AL34" s="12" t="s">
        <v>163</v>
      </c>
      <c r="AM34" s="12" t="s">
        <v>163</v>
      </c>
      <c r="AN34" s="12" t="s">
        <v>163</v>
      </c>
      <c r="AO34" s="12" t="s">
        <v>163</v>
      </c>
      <c r="AP34" s="12" t="s">
        <v>164</v>
      </c>
      <c r="AS34" s="12" t="s">
        <v>163</v>
      </c>
      <c r="AT34" s="12" t="s">
        <v>163</v>
      </c>
      <c r="AU34" s="12" t="s">
        <v>163</v>
      </c>
      <c r="AV34" s="12" t="s">
        <v>164</v>
      </c>
      <c r="AX34" s="48">
        <v>900</v>
      </c>
      <c r="AY34" s="48">
        <v>50</v>
      </c>
      <c r="BA34" s="12" t="s">
        <v>163</v>
      </c>
      <c r="BB34" s="12" t="s">
        <v>164</v>
      </c>
      <c r="BC34" s="12" t="s">
        <v>164</v>
      </c>
      <c r="BD34" s="12" t="s">
        <v>163</v>
      </c>
      <c r="BE34" s="12" t="s">
        <v>483</v>
      </c>
      <c r="BG34" s="36" t="s">
        <v>518</v>
      </c>
      <c r="BH34" s="9" t="s">
        <v>1242</v>
      </c>
      <c r="BI34" s="12" t="s">
        <v>163</v>
      </c>
      <c r="BJ34" s="12" t="s">
        <v>164</v>
      </c>
      <c r="BK34" s="12" t="s">
        <v>164</v>
      </c>
      <c r="BL34" s="12" t="s">
        <v>519</v>
      </c>
      <c r="BM34" s="35" t="s">
        <v>163</v>
      </c>
      <c r="BN34" s="12" t="s">
        <v>1280</v>
      </c>
      <c r="BO34" s="12" t="s">
        <v>164</v>
      </c>
      <c r="BP34" s="12" t="s">
        <v>164</v>
      </c>
      <c r="BQ34" s="35" t="s">
        <v>164</v>
      </c>
      <c r="BR34" s="35" t="s">
        <v>430</v>
      </c>
      <c r="BS34" s="12" t="s">
        <v>690</v>
      </c>
      <c r="BT34" s="35" t="s">
        <v>163</v>
      </c>
      <c r="BU34" s="35" t="s">
        <v>691</v>
      </c>
      <c r="BV34" s="9" t="s">
        <v>163</v>
      </c>
      <c r="BW34" s="12" t="s">
        <v>646</v>
      </c>
      <c r="BX34" s="35" t="s">
        <v>163</v>
      </c>
      <c r="BY34" s="12" t="s">
        <v>163</v>
      </c>
      <c r="BZ34" s="35" t="s">
        <v>647</v>
      </c>
      <c r="CA34" s="35" t="s">
        <v>164</v>
      </c>
      <c r="CB34" s="35" t="s">
        <v>164</v>
      </c>
      <c r="CC34" s="35" t="s">
        <v>164</v>
      </c>
      <c r="CD34" s="12" t="s">
        <v>164</v>
      </c>
      <c r="CE34" s="35" t="s">
        <v>164</v>
      </c>
      <c r="CF34" s="9" t="s">
        <v>163</v>
      </c>
      <c r="CG34" s="35" t="s">
        <v>164</v>
      </c>
      <c r="CI34" s="9" t="s">
        <v>163</v>
      </c>
      <c r="CJ34" s="12" t="s">
        <v>1281</v>
      </c>
      <c r="CK34" s="9" t="s">
        <v>1282</v>
      </c>
      <c r="CL34" s="35" t="s">
        <v>1283</v>
      </c>
      <c r="CM34" s="35" t="s">
        <v>163</v>
      </c>
      <c r="CN34" s="12" t="s">
        <v>163</v>
      </c>
      <c r="CO34" s="12" t="s">
        <v>1284</v>
      </c>
      <c r="CP34" s="49">
        <v>3000</v>
      </c>
      <c r="CQ34" s="35" t="s">
        <v>1285</v>
      </c>
      <c r="CR34" s="35" t="s">
        <v>749</v>
      </c>
      <c r="CS34" s="35" t="s">
        <v>1286</v>
      </c>
      <c r="CT34" s="35" t="s">
        <v>749</v>
      </c>
      <c r="CU34" s="12" t="s">
        <v>1287</v>
      </c>
      <c r="CV34" s="35" t="s">
        <v>749</v>
      </c>
      <c r="CW34" s="35" t="s">
        <v>1288</v>
      </c>
      <c r="CX34" s="35" t="s">
        <v>749</v>
      </c>
      <c r="CY34" s="35" t="s">
        <v>1334</v>
      </c>
      <c r="CZ34" s="35" t="s">
        <v>839</v>
      </c>
      <c r="DA34" s="35" t="s">
        <v>841</v>
      </c>
      <c r="DB34" s="35" t="s">
        <v>838</v>
      </c>
    </row>
    <row r="35" ht="12.75"/>
    <row r="36" ht="12.75">
      <c r="I36" s="9">
        <f>COUNTA(I4:I34)</f>
        <v>29</v>
      </c>
    </row>
  </sheetData>
  <sheetProtection/>
  <hyperlinks>
    <hyperlink ref="BG4" r:id="rId1" display="www.achange.org"/>
    <hyperlink ref="BG26" r:id="rId2" display="www.ncacdc.org"/>
    <hyperlink ref="BG18" r:id="rId3" display="www.lahousingalliance.org"/>
    <hyperlink ref="BG7" r:id="rId4" display="http://scanph.org/about"/>
    <hyperlink ref="BG15" r:id="rId5" display="http://www.chicagorehab.org/aboutCRN/index.htm"/>
    <hyperlink ref="BG5" r:id="rId6" display="http://cceda.com/"/>
    <hyperlink ref="BG12" r:id="rId7" display="www.flacdc.org"/>
    <hyperlink ref="BG25" r:id="rId8" display="www.npcnyf.org"/>
    <hyperlink ref="BG8" r:id="rId9" display="www.ct-housing.org"/>
    <hyperlink ref="BG32" r:id="rId10" display="http://www.communitydevelopmentsc.org/"/>
    <hyperlink ref="BG23" r:id="rId11" display="http://www.communitybuildersstl.org/"/>
    <hyperlink ref="BG21" r:id="rId12" display="www.cedam.info"/>
    <hyperlink ref="BG16" r:id="rId13" display="www.housingactionil.org"/>
    <hyperlink ref="BG30" r:id="rId14" display="www.pacdc.org"/>
    <hyperlink ref="BG19" r:id="rId15" display="www.macdc.org"/>
    <hyperlink ref="BG22" r:id="rId16" display="www.mccdmn.org/"/>
    <hyperlink ref="BG34" r:id="rId17" display="www.tacdc.org"/>
    <hyperlink ref="BG33" r:id="rId18" display="http://memphiscommunitydevelopment.com/ and livablememphis.org"/>
    <hyperlink ref="BG31" r:id="rId19" display="www.housingnetworkRI.org"/>
  </hyperlinks>
  <printOptions/>
  <pageMargins left="0.75" right="0.75" top="1" bottom="1" header="0.5" footer="0.5"/>
  <pageSetup horizontalDpi="600" verticalDpi="600" orientation="portrait"/>
  <legacyDrawing r:id="rId21"/>
</worksheet>
</file>

<file path=xl/worksheets/sheet2.xml><?xml version="1.0" encoding="utf-8"?>
<worksheet xmlns="http://schemas.openxmlformats.org/spreadsheetml/2006/main" xmlns:r="http://schemas.openxmlformats.org/officeDocument/2006/relationships">
  <sheetPr>
    <pageSetUpPr fitToPage="1"/>
  </sheetPr>
  <dimension ref="A2:O358"/>
  <sheetViews>
    <sheetView showGridLines="0" zoomScalePageLayoutView="0" workbookViewId="0" topLeftCell="A1">
      <selection activeCell="G348" sqref="G348"/>
    </sheetView>
  </sheetViews>
  <sheetFormatPr defaultColWidth="8.8515625" defaultRowHeight="12.75" outlineLevelRow="1"/>
  <cols>
    <col min="1" max="1" width="3.140625" style="11" customWidth="1"/>
    <col min="2" max="2" width="24.421875" style="11" customWidth="1"/>
    <col min="3" max="3" width="27.8515625" style="11" customWidth="1"/>
    <col min="4" max="4" width="28.8515625" style="11" customWidth="1"/>
    <col min="5" max="5" width="10.28125" style="11" customWidth="1"/>
    <col min="6" max="6" width="13.140625" style="11" customWidth="1"/>
    <col min="7" max="7" width="8.8515625" style="11" customWidth="1"/>
    <col min="8" max="8" width="20.28125" style="11" customWidth="1"/>
    <col min="9" max="9" width="8.8515625" style="11" customWidth="1"/>
    <col min="10" max="10" width="12.140625" style="11" customWidth="1"/>
    <col min="11" max="16384" width="8.8515625" style="11" customWidth="1"/>
  </cols>
  <sheetData>
    <row r="1" ht="75" customHeight="1"/>
    <row r="2" spans="1:14" ht="23.25">
      <c r="A2" s="6"/>
      <c r="H2" s="47"/>
      <c r="I2" s="71"/>
      <c r="J2" s="71"/>
      <c r="K2" s="71"/>
      <c r="L2" s="79"/>
      <c r="M2" s="47"/>
      <c r="N2" s="71"/>
    </row>
    <row r="3" spans="1:14" ht="23.25">
      <c r="A3" s="6"/>
      <c r="H3" s="47"/>
      <c r="I3" s="80"/>
      <c r="J3" s="80"/>
      <c r="K3" s="47"/>
      <c r="L3" s="79"/>
      <c r="M3" s="47"/>
      <c r="N3" s="47"/>
    </row>
    <row r="4" spans="1:14" ht="18.75" customHeight="1">
      <c r="A4" s="6"/>
      <c r="H4" s="47"/>
      <c r="I4" s="80"/>
      <c r="J4" s="80"/>
      <c r="K4" s="47"/>
      <c r="L4" s="79"/>
      <c r="M4" s="47"/>
      <c r="N4" s="47"/>
    </row>
    <row r="5" spans="1:14" ht="18.75">
      <c r="A5" s="7"/>
      <c r="H5" s="47"/>
      <c r="I5" s="80"/>
      <c r="J5" s="80"/>
      <c r="K5" s="47"/>
      <c r="L5" s="47"/>
      <c r="M5" s="47"/>
      <c r="N5" s="47"/>
    </row>
    <row r="6" spans="1:14" ht="42.75" customHeight="1">
      <c r="A6" s="70"/>
      <c r="B6" s="12"/>
      <c r="C6" s="12"/>
      <c r="D6" s="12"/>
      <c r="E6" s="12"/>
      <c r="F6" s="12"/>
      <c r="G6" s="12"/>
      <c r="H6" s="47"/>
      <c r="I6" s="80"/>
      <c r="J6" s="80"/>
      <c r="K6" s="47"/>
      <c r="L6" s="79"/>
      <c r="M6" s="47"/>
      <c r="N6" s="47"/>
    </row>
    <row r="7" spans="1:14" ht="18" customHeight="1">
      <c r="A7" s="70"/>
      <c r="B7" s="12"/>
      <c r="C7" s="12"/>
      <c r="D7" s="12"/>
      <c r="E7" s="12"/>
      <c r="F7" s="12"/>
      <c r="G7" s="12"/>
      <c r="H7" s="47"/>
      <c r="I7" s="80"/>
      <c r="J7" s="80"/>
      <c r="K7" s="47"/>
      <c r="L7" s="79"/>
      <c r="M7" s="47"/>
      <c r="N7" s="47"/>
    </row>
    <row r="8" spans="1:14" s="110" customFormat="1" ht="18">
      <c r="A8" s="109" t="s">
        <v>1679</v>
      </c>
      <c r="B8" s="87"/>
      <c r="C8" s="87"/>
      <c r="D8" s="87"/>
      <c r="E8" s="87"/>
      <c r="F8" s="87"/>
      <c r="G8" s="87"/>
      <c r="H8" s="87"/>
      <c r="I8" s="87"/>
      <c r="J8" s="87"/>
      <c r="K8" s="87"/>
      <c r="L8" s="87"/>
      <c r="M8" s="87"/>
      <c r="N8" s="87"/>
    </row>
    <row r="9" spans="1:14" ht="12.75">
      <c r="A9" s="90"/>
      <c r="B9" s="90"/>
      <c r="C9" s="90"/>
      <c r="D9" s="90"/>
      <c r="E9" s="90"/>
      <c r="F9" s="90"/>
      <c r="G9" s="90"/>
      <c r="H9" s="90"/>
      <c r="I9" s="90"/>
      <c r="J9" s="90"/>
      <c r="K9" s="90"/>
      <c r="L9" s="90"/>
      <c r="M9" s="90"/>
      <c r="N9" s="90"/>
    </row>
    <row r="10" spans="1:14" s="113" customFormat="1" ht="15.75">
      <c r="A10" s="111">
        <v>1</v>
      </c>
      <c r="B10" s="112" t="s">
        <v>302</v>
      </c>
      <c r="C10" s="112"/>
      <c r="D10" s="112"/>
      <c r="E10" s="112"/>
      <c r="F10" s="112"/>
      <c r="G10" s="112"/>
      <c r="H10" s="112"/>
      <c r="I10" s="112"/>
      <c r="J10" s="112"/>
      <c r="K10" s="112"/>
      <c r="L10" s="112"/>
      <c r="M10" s="112"/>
      <c r="N10" s="112"/>
    </row>
    <row r="11" spans="1:14" s="129" customFormat="1" ht="12.75" hidden="1" outlineLevel="1">
      <c r="A11" s="125"/>
      <c r="B11" s="126" t="s">
        <v>324</v>
      </c>
      <c r="C11" s="126" t="s">
        <v>189</v>
      </c>
      <c r="D11" s="127" t="s">
        <v>8</v>
      </c>
      <c r="E11" s="128"/>
      <c r="F11" s="128"/>
      <c r="G11" s="128"/>
      <c r="H11" s="128"/>
      <c r="I11" s="128"/>
      <c r="J11" s="128"/>
      <c r="K11" s="128"/>
      <c r="L11" s="128"/>
      <c r="M11" s="128"/>
      <c r="N11" s="128"/>
    </row>
    <row r="12" spans="1:14" ht="12.75" hidden="1" outlineLevel="1">
      <c r="A12" s="90"/>
      <c r="B12" s="91" t="s">
        <v>140</v>
      </c>
      <c r="C12" s="90" t="s">
        <v>341</v>
      </c>
      <c r="D12" s="94">
        <v>2005</v>
      </c>
      <c r="E12" s="91"/>
      <c r="F12" s="90"/>
      <c r="G12" s="90"/>
      <c r="H12" s="90"/>
      <c r="I12" s="90"/>
      <c r="J12" s="90"/>
      <c r="K12" s="90"/>
      <c r="L12" s="90"/>
      <c r="M12" s="90"/>
      <c r="N12" s="90"/>
    </row>
    <row r="13" spans="1:14" ht="12.75" hidden="1" outlineLevel="1">
      <c r="A13" s="90"/>
      <c r="B13" s="91" t="s">
        <v>332</v>
      </c>
      <c r="C13" s="90" t="s">
        <v>554</v>
      </c>
      <c r="D13" s="95">
        <v>1986</v>
      </c>
      <c r="E13" s="91"/>
      <c r="F13" s="90"/>
      <c r="G13" s="90"/>
      <c r="H13" s="90"/>
      <c r="I13" s="90"/>
      <c r="J13" s="90"/>
      <c r="K13" s="90"/>
      <c r="L13" s="90"/>
      <c r="M13" s="90"/>
      <c r="N13" s="90"/>
    </row>
    <row r="14" spans="1:14" ht="12.75" hidden="1" outlineLevel="1">
      <c r="A14" s="90"/>
      <c r="B14" s="91" t="s">
        <v>332</v>
      </c>
      <c r="C14" s="90" t="s">
        <v>436</v>
      </c>
      <c r="D14" s="94">
        <v>1984</v>
      </c>
      <c r="E14" s="91"/>
      <c r="F14" s="90"/>
      <c r="G14" s="90"/>
      <c r="H14" s="90"/>
      <c r="I14" s="90"/>
      <c r="J14" s="90"/>
      <c r="K14" s="90"/>
      <c r="L14" s="90"/>
      <c r="M14" s="90"/>
      <c r="N14" s="90"/>
    </row>
    <row r="15" spans="1:14" ht="12.75" hidden="1" outlineLevel="1">
      <c r="A15" s="90"/>
      <c r="B15" s="91" t="s">
        <v>332</v>
      </c>
      <c r="C15" s="90" t="s">
        <v>286</v>
      </c>
      <c r="D15" s="94">
        <v>1985</v>
      </c>
      <c r="E15" s="91"/>
      <c r="F15" s="90"/>
      <c r="G15" s="90"/>
      <c r="H15" s="90"/>
      <c r="I15" s="90"/>
      <c r="J15" s="90"/>
      <c r="K15" s="90"/>
      <c r="L15" s="90"/>
      <c r="M15" s="90"/>
      <c r="N15" s="90"/>
    </row>
    <row r="16" spans="1:14" ht="12.75" hidden="1" outlineLevel="1">
      <c r="A16" s="90"/>
      <c r="B16" s="91" t="s">
        <v>141</v>
      </c>
      <c r="C16" s="90" t="s">
        <v>445</v>
      </c>
      <c r="D16" s="94">
        <v>1981</v>
      </c>
      <c r="E16" s="91"/>
      <c r="F16" s="90"/>
      <c r="G16" s="90"/>
      <c r="H16" s="96"/>
      <c r="I16" s="97"/>
      <c r="J16" s="97"/>
      <c r="K16" s="97"/>
      <c r="L16" s="98"/>
      <c r="M16" s="96"/>
      <c r="N16" s="97"/>
    </row>
    <row r="17" spans="1:14" ht="12.75" hidden="1" outlineLevel="1">
      <c r="A17" s="90"/>
      <c r="B17" s="91" t="s">
        <v>146</v>
      </c>
      <c r="C17" s="90" t="s">
        <v>349</v>
      </c>
      <c r="D17" s="94">
        <v>2000</v>
      </c>
      <c r="E17" s="91"/>
      <c r="F17" s="90"/>
      <c r="G17" s="90"/>
      <c r="H17" s="96"/>
      <c r="I17" s="99"/>
      <c r="J17" s="99"/>
      <c r="K17" s="96"/>
      <c r="L17" s="98"/>
      <c r="M17" s="96"/>
      <c r="N17" s="96"/>
    </row>
    <row r="18" spans="1:14" ht="12.75" hidden="1" outlineLevel="1">
      <c r="A18" s="90"/>
      <c r="B18" s="91" t="s">
        <v>146</v>
      </c>
      <c r="C18" s="90" t="s">
        <v>550</v>
      </c>
      <c r="D18" s="94">
        <v>1991</v>
      </c>
      <c r="E18" s="91"/>
      <c r="F18" s="90"/>
      <c r="G18" s="90"/>
      <c r="H18" s="96"/>
      <c r="I18" s="99"/>
      <c r="J18" s="99"/>
      <c r="K18" s="96"/>
      <c r="L18" s="98"/>
      <c r="M18" s="96"/>
      <c r="N18" s="96"/>
    </row>
    <row r="19" spans="1:14" ht="12.75" hidden="1" outlineLevel="1">
      <c r="A19" s="90"/>
      <c r="B19" s="91" t="s">
        <v>142</v>
      </c>
      <c r="C19" s="90" t="s">
        <v>343</v>
      </c>
      <c r="D19" s="94">
        <v>1983</v>
      </c>
      <c r="E19" s="91"/>
      <c r="F19" s="90"/>
      <c r="G19" s="90"/>
      <c r="H19" s="96"/>
      <c r="I19" s="99"/>
      <c r="J19" s="99"/>
      <c r="K19" s="96"/>
      <c r="L19" s="96"/>
      <c r="M19" s="96"/>
      <c r="N19" s="96"/>
    </row>
    <row r="20" spans="1:14" ht="12.75" hidden="1" outlineLevel="1">
      <c r="A20" s="90"/>
      <c r="B20" s="91" t="s">
        <v>143</v>
      </c>
      <c r="C20" s="90" t="s">
        <v>437</v>
      </c>
      <c r="D20" s="94">
        <v>2004</v>
      </c>
      <c r="E20" s="91"/>
      <c r="F20" s="90"/>
      <c r="G20" s="90"/>
      <c r="H20" s="96"/>
      <c r="I20" s="99"/>
      <c r="J20" s="99"/>
      <c r="K20" s="96"/>
      <c r="L20" s="98"/>
      <c r="M20" s="96"/>
      <c r="N20" s="96"/>
    </row>
    <row r="21" spans="1:14" ht="12.75" hidden="1" outlineLevel="1">
      <c r="A21" s="90"/>
      <c r="B21" s="91" t="s">
        <v>143</v>
      </c>
      <c r="C21" s="90" t="s">
        <v>287</v>
      </c>
      <c r="D21" s="94">
        <v>2007</v>
      </c>
      <c r="E21" s="91"/>
      <c r="F21" s="90"/>
      <c r="G21" s="90"/>
      <c r="H21" s="96"/>
      <c r="I21" s="99"/>
      <c r="J21" s="99"/>
      <c r="K21" s="96"/>
      <c r="L21" s="98"/>
      <c r="M21" s="96"/>
      <c r="N21" s="96"/>
    </row>
    <row r="22" spans="1:14" ht="12.75" hidden="1" outlineLevel="1">
      <c r="A22" s="90"/>
      <c r="B22" s="91" t="s">
        <v>144</v>
      </c>
      <c r="C22" s="90" t="s">
        <v>438</v>
      </c>
      <c r="D22" s="94">
        <v>2001</v>
      </c>
      <c r="E22" s="91"/>
      <c r="F22" s="90"/>
      <c r="G22" s="90"/>
      <c r="H22" s="90"/>
      <c r="I22" s="90"/>
      <c r="J22" s="90"/>
      <c r="K22" s="90"/>
      <c r="L22" s="90"/>
      <c r="M22" s="90"/>
      <c r="N22" s="90"/>
    </row>
    <row r="23" spans="1:14" ht="12.75" hidden="1" outlineLevel="1">
      <c r="A23" s="90"/>
      <c r="B23" s="91" t="s">
        <v>153</v>
      </c>
      <c r="C23" s="90" t="s">
        <v>444</v>
      </c>
      <c r="D23" s="95">
        <v>1977</v>
      </c>
      <c r="E23" s="91"/>
      <c r="F23" s="90"/>
      <c r="G23" s="90"/>
      <c r="H23" s="90"/>
      <c r="I23" s="90"/>
      <c r="J23" s="90"/>
      <c r="K23" s="90"/>
      <c r="L23" s="90"/>
      <c r="M23" s="90"/>
      <c r="N23" s="90"/>
    </row>
    <row r="24" spans="1:14" ht="12.75" hidden="1" outlineLevel="1">
      <c r="A24" s="90"/>
      <c r="B24" s="91" t="s">
        <v>153</v>
      </c>
      <c r="C24" s="90" t="s">
        <v>446</v>
      </c>
      <c r="D24" s="94">
        <v>1986</v>
      </c>
      <c r="E24" s="91"/>
      <c r="F24" s="90"/>
      <c r="G24" s="90"/>
      <c r="H24" s="90"/>
      <c r="I24" s="90"/>
      <c r="J24" s="90"/>
      <c r="K24" s="90"/>
      <c r="L24" s="90"/>
      <c r="M24" s="90"/>
      <c r="N24" s="90"/>
    </row>
    <row r="25" spans="1:14" ht="12.75" hidden="1" outlineLevel="1">
      <c r="A25" s="90"/>
      <c r="B25" s="91" t="s">
        <v>139</v>
      </c>
      <c r="C25" s="90" t="s">
        <v>551</v>
      </c>
      <c r="D25" s="94">
        <v>1986</v>
      </c>
      <c r="E25" s="91"/>
      <c r="F25" s="90"/>
      <c r="G25" s="90"/>
      <c r="H25" s="90"/>
      <c r="I25" s="90"/>
      <c r="J25" s="90"/>
      <c r="K25" s="90"/>
      <c r="L25" s="90"/>
      <c r="M25" s="90"/>
      <c r="N25" s="90"/>
    </row>
    <row r="26" spans="1:14" ht="12.75" hidden="1" outlineLevel="1">
      <c r="A26" s="90"/>
      <c r="B26" s="91" t="s">
        <v>148</v>
      </c>
      <c r="C26" s="90" t="s">
        <v>552</v>
      </c>
      <c r="D26" s="94">
        <v>1982</v>
      </c>
      <c r="E26" s="91"/>
      <c r="F26" s="90"/>
      <c r="G26" s="90"/>
      <c r="H26" s="90"/>
      <c r="I26" s="90"/>
      <c r="J26" s="90"/>
      <c r="K26" s="90"/>
      <c r="L26" s="90"/>
      <c r="M26" s="90"/>
      <c r="N26" s="90"/>
    </row>
    <row r="27" spans="1:14" ht="12.75" hidden="1" outlineLevel="1">
      <c r="A27" s="90"/>
      <c r="B27" s="91" t="s">
        <v>154</v>
      </c>
      <c r="C27" s="90" t="s">
        <v>352</v>
      </c>
      <c r="D27" s="95">
        <v>1998</v>
      </c>
      <c r="E27" s="91"/>
      <c r="F27" s="90"/>
      <c r="G27" s="90"/>
      <c r="H27" s="90"/>
      <c r="I27" s="90"/>
      <c r="J27" s="90"/>
      <c r="K27" s="90"/>
      <c r="L27" s="90"/>
      <c r="M27" s="90"/>
      <c r="N27" s="90"/>
    </row>
    <row r="28" spans="1:14" ht="12.75" hidden="1" outlineLevel="1">
      <c r="A28" s="90"/>
      <c r="B28" s="91" t="s">
        <v>154</v>
      </c>
      <c r="C28" s="90" t="s">
        <v>342</v>
      </c>
      <c r="D28" s="94">
        <v>1998</v>
      </c>
      <c r="E28" s="91"/>
      <c r="F28" s="90"/>
      <c r="G28" s="90"/>
      <c r="H28" s="90"/>
      <c r="I28" s="90"/>
      <c r="J28" s="90"/>
      <c r="K28" s="90"/>
      <c r="L28" s="90"/>
      <c r="M28" s="90"/>
      <c r="N28" s="90"/>
    </row>
    <row r="29" spans="1:14" ht="12.75" hidden="1" outlineLevel="1">
      <c r="A29" s="90"/>
      <c r="B29" s="91" t="s">
        <v>336</v>
      </c>
      <c r="C29" s="90" t="s">
        <v>281</v>
      </c>
      <c r="D29" s="94">
        <v>1989</v>
      </c>
      <c r="E29" s="91"/>
      <c r="F29" s="90"/>
      <c r="G29" s="90"/>
      <c r="H29" s="90"/>
      <c r="I29" s="90"/>
      <c r="J29" s="90"/>
      <c r="K29" s="90"/>
      <c r="L29" s="90"/>
      <c r="M29" s="90"/>
      <c r="N29" s="90"/>
    </row>
    <row r="30" spans="1:14" ht="12.75" hidden="1" outlineLevel="1">
      <c r="A30" s="90"/>
      <c r="B30" s="91" t="s">
        <v>334</v>
      </c>
      <c r="C30" s="90" t="s">
        <v>350</v>
      </c>
      <c r="D30" s="95">
        <v>2011</v>
      </c>
      <c r="E30" s="91"/>
      <c r="F30" s="90"/>
      <c r="G30" s="90"/>
      <c r="H30" s="90"/>
      <c r="I30" s="90"/>
      <c r="J30" s="90"/>
      <c r="K30" s="90"/>
      <c r="L30" s="90"/>
      <c r="M30" s="90"/>
      <c r="N30" s="90"/>
    </row>
    <row r="31" spans="1:14" ht="12.75" hidden="1" outlineLevel="1">
      <c r="A31" s="90"/>
      <c r="B31" s="91" t="s">
        <v>145</v>
      </c>
      <c r="C31" s="90" t="s">
        <v>439</v>
      </c>
      <c r="D31" s="94">
        <v>1989</v>
      </c>
      <c r="E31" s="91"/>
      <c r="F31" s="90"/>
      <c r="G31" s="90"/>
      <c r="H31" s="90"/>
      <c r="I31" s="90"/>
      <c r="J31" s="90"/>
      <c r="K31" s="90"/>
      <c r="L31" s="90"/>
      <c r="M31" s="90"/>
      <c r="N31" s="90"/>
    </row>
    <row r="32" spans="1:14" ht="12.75" hidden="1" outlineLevel="1">
      <c r="A32" s="90"/>
      <c r="B32" s="91" t="s">
        <v>335</v>
      </c>
      <c r="C32" s="90" t="s">
        <v>283</v>
      </c>
      <c r="D32" s="94">
        <v>1978</v>
      </c>
      <c r="E32" s="91"/>
      <c r="F32" s="90"/>
      <c r="G32" s="90"/>
      <c r="H32" s="90"/>
      <c r="I32" s="90"/>
      <c r="J32" s="90"/>
      <c r="K32" s="90"/>
      <c r="L32" s="90"/>
      <c r="M32" s="90"/>
      <c r="N32" s="90"/>
    </row>
    <row r="33" spans="1:14" ht="12.75" hidden="1" outlineLevel="1">
      <c r="A33" s="90"/>
      <c r="B33" s="91" t="s">
        <v>152</v>
      </c>
      <c r="C33" s="90" t="s">
        <v>291</v>
      </c>
      <c r="D33" s="94">
        <v>1989</v>
      </c>
      <c r="E33" s="91"/>
      <c r="F33" s="90"/>
      <c r="G33" s="90"/>
      <c r="H33" s="90"/>
      <c r="I33" s="90"/>
      <c r="J33" s="90"/>
      <c r="K33" s="90"/>
      <c r="L33" s="90"/>
      <c r="M33" s="90"/>
      <c r="N33" s="90"/>
    </row>
    <row r="34" spans="1:14" ht="12.75" hidden="1" outlineLevel="1">
      <c r="A34" s="90"/>
      <c r="B34" s="91" t="s">
        <v>149</v>
      </c>
      <c r="C34" s="90" t="s">
        <v>277</v>
      </c>
      <c r="D34" s="95">
        <v>1983</v>
      </c>
      <c r="E34" s="91"/>
      <c r="F34" s="90"/>
      <c r="G34" s="90"/>
      <c r="H34" s="96"/>
      <c r="I34" s="97"/>
      <c r="J34" s="97"/>
      <c r="K34" s="97"/>
      <c r="L34" s="98"/>
      <c r="M34" s="96"/>
      <c r="N34" s="97"/>
    </row>
    <row r="35" spans="1:14" ht="12.75" hidden="1" outlineLevel="1">
      <c r="A35" s="90"/>
      <c r="B35" s="91" t="s">
        <v>150</v>
      </c>
      <c r="C35" s="90" t="s">
        <v>278</v>
      </c>
      <c r="D35" s="94">
        <v>1995</v>
      </c>
      <c r="E35" s="91"/>
      <c r="F35" s="90"/>
      <c r="G35" s="90"/>
      <c r="H35" s="96"/>
      <c r="I35" s="99"/>
      <c r="J35" s="99"/>
      <c r="K35" s="96"/>
      <c r="L35" s="98"/>
      <c r="M35" s="96"/>
      <c r="N35" s="96"/>
    </row>
    <row r="36" spans="1:14" ht="12.75" hidden="1" outlineLevel="1">
      <c r="A36" s="90"/>
      <c r="B36" s="91" t="s">
        <v>155</v>
      </c>
      <c r="C36" s="90" t="s">
        <v>351</v>
      </c>
      <c r="D36" s="94">
        <v>1985</v>
      </c>
      <c r="E36" s="91"/>
      <c r="F36" s="90"/>
      <c r="G36" s="90"/>
      <c r="H36" s="96"/>
      <c r="I36" s="99"/>
      <c r="J36" s="99"/>
      <c r="K36" s="96"/>
      <c r="L36" s="98"/>
      <c r="M36" s="96"/>
      <c r="N36" s="96"/>
    </row>
    <row r="37" spans="1:14" ht="12.75" hidden="1" outlineLevel="1">
      <c r="A37" s="90"/>
      <c r="B37" s="91" t="s">
        <v>155</v>
      </c>
      <c r="C37" s="90" t="s">
        <v>279</v>
      </c>
      <c r="D37" s="94">
        <v>1992</v>
      </c>
      <c r="E37" s="91"/>
      <c r="F37" s="90"/>
      <c r="G37" s="90"/>
      <c r="H37" s="96"/>
      <c r="I37" s="99"/>
      <c r="J37" s="99"/>
      <c r="K37" s="96"/>
      <c r="L37" s="96"/>
      <c r="M37" s="96"/>
      <c r="N37" s="96"/>
    </row>
    <row r="38" spans="1:14" ht="12.75" hidden="1" outlineLevel="1">
      <c r="A38" s="90"/>
      <c r="B38" s="91" t="s">
        <v>147</v>
      </c>
      <c r="C38" s="90" t="s">
        <v>353</v>
      </c>
      <c r="D38" s="94">
        <v>1992</v>
      </c>
      <c r="E38" s="91"/>
      <c r="F38" s="90"/>
      <c r="G38" s="90"/>
      <c r="H38" s="96"/>
      <c r="I38" s="99"/>
      <c r="J38" s="99"/>
      <c r="K38" s="96"/>
      <c r="L38" s="98"/>
      <c r="M38" s="96"/>
      <c r="N38" s="96"/>
    </row>
    <row r="39" spans="1:14" ht="12.75" hidden="1" outlineLevel="1">
      <c r="A39" s="90"/>
      <c r="B39" s="91" t="s">
        <v>151</v>
      </c>
      <c r="C39" s="90" t="s">
        <v>282</v>
      </c>
      <c r="D39" s="94">
        <v>1994</v>
      </c>
      <c r="E39" s="91"/>
      <c r="F39" s="90"/>
      <c r="G39" s="90"/>
      <c r="H39" s="96"/>
      <c r="I39" s="99"/>
      <c r="J39" s="99"/>
      <c r="K39" s="96"/>
      <c r="L39" s="98"/>
      <c r="M39" s="96"/>
      <c r="N39" s="96"/>
    </row>
    <row r="40" spans="1:14" ht="12.75" hidden="1" outlineLevel="1">
      <c r="A40" s="90"/>
      <c r="B40" s="91" t="s">
        <v>337</v>
      </c>
      <c r="C40" s="90" t="s">
        <v>553</v>
      </c>
      <c r="D40" s="94">
        <v>2000</v>
      </c>
      <c r="E40" s="91"/>
      <c r="F40" s="90"/>
      <c r="G40" s="90"/>
      <c r="H40" s="90"/>
      <c r="I40" s="90"/>
      <c r="J40" s="90"/>
      <c r="K40" s="90"/>
      <c r="L40" s="90"/>
      <c r="M40" s="90"/>
      <c r="N40" s="90"/>
    </row>
    <row r="41" spans="1:14" ht="12.75" hidden="1" outlineLevel="1">
      <c r="A41" s="90"/>
      <c r="B41" s="91" t="s">
        <v>156</v>
      </c>
      <c r="C41" s="90" t="s">
        <v>288</v>
      </c>
      <c r="D41" s="94">
        <v>1995</v>
      </c>
      <c r="E41" s="91"/>
      <c r="F41" s="90"/>
      <c r="G41" s="90"/>
      <c r="H41" s="90"/>
      <c r="I41" s="90"/>
      <c r="J41" s="90"/>
      <c r="K41" s="90"/>
      <c r="L41" s="90"/>
      <c r="M41" s="90"/>
      <c r="N41" s="90"/>
    </row>
    <row r="42" spans="1:14" ht="12.75" collapsed="1">
      <c r="A42" s="90"/>
      <c r="B42" s="90"/>
      <c r="C42" s="90"/>
      <c r="D42" s="90"/>
      <c r="E42" s="90"/>
      <c r="F42" s="90"/>
      <c r="G42" s="90"/>
      <c r="H42" s="90"/>
      <c r="I42" s="90"/>
      <c r="J42" s="90"/>
      <c r="K42" s="90"/>
      <c r="L42" s="90"/>
      <c r="M42" s="90"/>
      <c r="N42" s="90"/>
    </row>
    <row r="43" spans="1:14" s="108" customFormat="1" ht="12.75">
      <c r="A43" s="107"/>
      <c r="B43" s="107" t="str">
        <f>CONCATENATE("Average = ",INT(AVERAGE($D12:$D41)))</f>
        <v>Average = 1991</v>
      </c>
      <c r="C43" s="107" t="str">
        <f ca="1">CONCATENATE("Average Age = ",YEAR(TODAY())-INT(AVERAGE($D12:$D41))," years old")</f>
        <v>Average Age = 24 years old</v>
      </c>
      <c r="D43" s="107"/>
      <c r="E43" s="107"/>
      <c r="F43" s="107"/>
      <c r="G43" s="107"/>
      <c r="H43" s="107"/>
      <c r="I43" s="107"/>
      <c r="J43" s="107"/>
      <c r="K43" s="107"/>
      <c r="L43" s="107"/>
      <c r="M43" s="107"/>
      <c r="N43" s="107"/>
    </row>
    <row r="44" spans="1:14" s="108" customFormat="1" ht="12.75">
      <c r="A44" s="107"/>
      <c r="B44" s="107" t="str">
        <f>CONCATENATE("Low = ",MIN($D12:$D41))</f>
        <v>Low = 1977</v>
      </c>
      <c r="C44" s="107" t="str">
        <f ca="1">CONCATENATE("Oldest = ",YEAR(TODAY())-INT(MIN($D12:$D41))," years old")</f>
        <v>Oldest = 38 years old</v>
      </c>
      <c r="D44" s="107"/>
      <c r="E44" s="107"/>
      <c r="F44" s="107"/>
      <c r="G44" s="107"/>
      <c r="H44" s="107"/>
      <c r="I44" s="107"/>
      <c r="J44" s="107"/>
      <c r="K44" s="107"/>
      <c r="L44" s="107"/>
      <c r="M44" s="107"/>
      <c r="N44" s="107"/>
    </row>
    <row r="45" spans="1:14" s="108" customFormat="1" ht="12.75">
      <c r="A45" s="107"/>
      <c r="B45" s="107" t="str">
        <f>CONCATENATE("High = ",MAX($D12:$D41))</f>
        <v>High = 2011</v>
      </c>
      <c r="C45" s="107" t="str">
        <f ca="1">CONCATENATE("Youngest = ",YEAR(TODAY())-INT(MAX($D12:$D41))," years old")</f>
        <v>Youngest = 4 years old</v>
      </c>
      <c r="D45" s="107"/>
      <c r="E45" s="107"/>
      <c r="F45" s="107"/>
      <c r="G45" s="107"/>
      <c r="H45" s="107"/>
      <c r="I45" s="107"/>
      <c r="J45" s="107"/>
      <c r="K45" s="107"/>
      <c r="L45" s="107"/>
      <c r="M45" s="107"/>
      <c r="N45" s="107"/>
    </row>
    <row r="46" spans="1:14" ht="12.75">
      <c r="A46" s="90"/>
      <c r="B46" s="90"/>
      <c r="C46" s="90"/>
      <c r="D46" s="90"/>
      <c r="E46" s="90"/>
      <c r="F46" s="90"/>
      <c r="G46" s="90"/>
      <c r="H46" s="90"/>
      <c r="I46" s="90"/>
      <c r="J46" s="90"/>
      <c r="K46" s="90"/>
      <c r="L46" s="90"/>
      <c r="M46" s="90"/>
      <c r="N46" s="90"/>
    </row>
    <row r="47" spans="1:14" ht="12.75">
      <c r="A47" s="90"/>
      <c r="B47" s="90"/>
      <c r="C47" s="90"/>
      <c r="D47" s="139" t="s">
        <v>1323</v>
      </c>
      <c r="E47" s="90"/>
      <c r="F47" s="90"/>
      <c r="G47" s="90"/>
      <c r="H47" s="90"/>
      <c r="I47" s="90"/>
      <c r="J47" s="90"/>
      <c r="K47" s="90"/>
      <c r="L47" s="90"/>
      <c r="M47" s="90"/>
      <c r="N47" s="90"/>
    </row>
    <row r="48" spans="1:14" ht="12.75">
      <c r="A48" s="90"/>
      <c r="B48" s="90"/>
      <c r="C48" s="90"/>
      <c r="D48" s="90" t="s">
        <v>23</v>
      </c>
      <c r="E48" s="90"/>
      <c r="F48" s="90"/>
      <c r="G48" s="90"/>
      <c r="H48" s="90"/>
      <c r="I48" s="90"/>
      <c r="J48" s="90"/>
      <c r="K48" s="90"/>
      <c r="L48" s="90"/>
      <c r="M48" s="90"/>
      <c r="N48" s="90"/>
    </row>
    <row r="49" spans="1:14" ht="12.75">
      <c r="A49" s="90"/>
      <c r="B49" s="90"/>
      <c r="C49" s="90"/>
      <c r="D49" s="90"/>
      <c r="E49" s="90"/>
      <c r="F49" s="90"/>
      <c r="G49" s="90"/>
      <c r="H49" s="90"/>
      <c r="I49" s="90"/>
      <c r="J49" s="90"/>
      <c r="K49" s="90"/>
      <c r="L49" s="90"/>
      <c r="M49" s="90"/>
      <c r="N49" s="90"/>
    </row>
    <row r="50" spans="1:14" s="113" customFormat="1" ht="15.75">
      <c r="A50" s="111">
        <v>2</v>
      </c>
      <c r="B50" s="112" t="s">
        <v>296</v>
      </c>
      <c r="C50" s="112"/>
      <c r="D50" s="112"/>
      <c r="E50" s="112"/>
      <c r="F50" s="112"/>
      <c r="G50" s="112"/>
      <c r="H50" s="112"/>
      <c r="I50" s="112"/>
      <c r="J50" s="112"/>
      <c r="K50" s="112"/>
      <c r="L50" s="112"/>
      <c r="M50" s="112"/>
      <c r="N50" s="112"/>
    </row>
    <row r="51" spans="1:14" s="132" customFormat="1" ht="12.75" hidden="1" outlineLevel="1">
      <c r="A51" s="127"/>
      <c r="B51" s="126" t="s">
        <v>324</v>
      </c>
      <c r="C51" s="126" t="s">
        <v>189</v>
      </c>
      <c r="D51" s="142" t="s">
        <v>7</v>
      </c>
      <c r="E51" s="126"/>
      <c r="F51" s="126"/>
      <c r="G51" s="126"/>
      <c r="H51" s="126"/>
      <c r="I51" s="126"/>
      <c r="J51" s="126"/>
      <c r="K51" s="126"/>
      <c r="L51" s="126"/>
      <c r="M51" s="126"/>
      <c r="N51" s="126"/>
    </row>
    <row r="52" spans="1:14" ht="12.75" hidden="1" outlineLevel="1">
      <c r="A52" s="90"/>
      <c r="B52" s="91" t="s">
        <v>140</v>
      </c>
      <c r="C52" s="90" t="s">
        <v>341</v>
      </c>
      <c r="D52" s="147">
        <v>9</v>
      </c>
      <c r="E52" s="90"/>
      <c r="F52" s="90"/>
      <c r="G52" s="90"/>
      <c r="H52" s="90"/>
      <c r="I52" s="90"/>
      <c r="J52" s="90"/>
      <c r="K52" s="90"/>
      <c r="L52" s="90"/>
      <c r="M52" s="90"/>
      <c r="N52" s="90"/>
    </row>
    <row r="53" spans="1:14" ht="12.75" hidden="1" outlineLevel="1">
      <c r="A53" s="90"/>
      <c r="B53" s="91" t="s">
        <v>332</v>
      </c>
      <c r="C53" s="90" t="s">
        <v>554</v>
      </c>
      <c r="D53" s="147">
        <v>15</v>
      </c>
      <c r="E53" s="90"/>
      <c r="F53" s="90"/>
      <c r="G53" s="90"/>
      <c r="H53" s="90"/>
      <c r="I53" s="90"/>
      <c r="J53" s="90"/>
      <c r="K53" s="90"/>
      <c r="L53" s="90"/>
      <c r="M53" s="90"/>
      <c r="N53" s="90"/>
    </row>
    <row r="54" spans="1:14" ht="12.75" hidden="1" outlineLevel="1">
      <c r="A54" s="90"/>
      <c r="B54" s="91" t="s">
        <v>332</v>
      </c>
      <c r="C54" s="90" t="s">
        <v>436</v>
      </c>
      <c r="D54" s="147">
        <v>12</v>
      </c>
      <c r="E54" s="90"/>
      <c r="F54" s="90"/>
      <c r="G54" s="90"/>
      <c r="H54" s="90"/>
      <c r="I54" s="90"/>
      <c r="J54" s="90"/>
      <c r="K54" s="90"/>
      <c r="L54" s="90"/>
      <c r="M54" s="90"/>
      <c r="N54" s="90"/>
    </row>
    <row r="55" spans="1:14" ht="12.75" hidden="1" outlineLevel="1">
      <c r="A55" s="90"/>
      <c r="B55" s="91" t="s">
        <v>332</v>
      </c>
      <c r="C55" s="90" t="s">
        <v>286</v>
      </c>
      <c r="D55" s="147">
        <v>20</v>
      </c>
      <c r="E55" s="90"/>
      <c r="F55" s="90"/>
      <c r="G55" s="90"/>
      <c r="H55" s="90"/>
      <c r="I55" s="90"/>
      <c r="J55" s="90"/>
      <c r="K55" s="90"/>
      <c r="L55" s="90"/>
      <c r="M55" s="90"/>
      <c r="N55" s="90"/>
    </row>
    <row r="56" spans="1:14" ht="12.75" hidden="1" outlineLevel="1">
      <c r="A56" s="90"/>
      <c r="B56" s="91" t="s">
        <v>141</v>
      </c>
      <c r="C56" s="90" t="s">
        <v>445</v>
      </c>
      <c r="D56" s="147">
        <v>15</v>
      </c>
      <c r="E56" s="90"/>
      <c r="F56" s="90"/>
      <c r="G56" s="90"/>
      <c r="H56" s="90"/>
      <c r="I56" s="90"/>
      <c r="J56" s="90"/>
      <c r="K56" s="90"/>
      <c r="L56" s="90"/>
      <c r="M56" s="90"/>
      <c r="N56" s="90"/>
    </row>
    <row r="57" spans="1:14" ht="12.75" hidden="1" outlineLevel="1">
      <c r="A57" s="90"/>
      <c r="B57" s="91" t="s">
        <v>146</v>
      </c>
      <c r="C57" s="90" t="s">
        <v>349</v>
      </c>
      <c r="D57" s="147">
        <v>16</v>
      </c>
      <c r="E57" s="90"/>
      <c r="F57" s="90"/>
      <c r="G57" s="90"/>
      <c r="H57" s="90"/>
      <c r="I57" s="90"/>
      <c r="J57" s="90"/>
      <c r="K57" s="90"/>
      <c r="L57" s="90"/>
      <c r="M57" s="90"/>
      <c r="N57" s="90"/>
    </row>
    <row r="58" spans="1:14" ht="12.75" hidden="1" outlineLevel="1">
      <c r="A58" s="90"/>
      <c r="B58" s="91" t="s">
        <v>146</v>
      </c>
      <c r="C58" s="90" t="s">
        <v>550</v>
      </c>
      <c r="D58" s="147">
        <v>18</v>
      </c>
      <c r="E58" s="90"/>
      <c r="F58" s="90"/>
      <c r="G58" s="90"/>
      <c r="H58" s="90"/>
      <c r="I58" s="90"/>
      <c r="J58" s="90"/>
      <c r="K58" s="90"/>
      <c r="L58" s="90"/>
      <c r="M58" s="90"/>
      <c r="N58" s="90"/>
    </row>
    <row r="59" spans="1:14" ht="12.75" hidden="1" outlineLevel="1">
      <c r="A59" s="90"/>
      <c r="B59" s="91" t="s">
        <v>142</v>
      </c>
      <c r="C59" s="90" t="s">
        <v>343</v>
      </c>
      <c r="D59" s="147">
        <v>15</v>
      </c>
      <c r="E59" s="90"/>
      <c r="F59" s="90"/>
      <c r="G59" s="90"/>
      <c r="H59" s="90"/>
      <c r="I59" s="90"/>
      <c r="J59" s="90"/>
      <c r="K59" s="90"/>
      <c r="L59" s="90"/>
      <c r="M59" s="90"/>
      <c r="N59" s="90"/>
    </row>
    <row r="60" spans="1:14" ht="12.75" hidden="1" outlineLevel="1">
      <c r="A60" s="90"/>
      <c r="B60" s="91" t="s">
        <v>143</v>
      </c>
      <c r="C60" s="90" t="s">
        <v>437</v>
      </c>
      <c r="D60" s="147">
        <v>10</v>
      </c>
      <c r="E60" s="90"/>
      <c r="F60" s="90"/>
      <c r="G60" s="90"/>
      <c r="H60" s="90"/>
      <c r="I60" s="90"/>
      <c r="J60" s="90"/>
      <c r="K60" s="90"/>
      <c r="L60" s="90"/>
      <c r="M60" s="90"/>
      <c r="N60" s="90"/>
    </row>
    <row r="61" spans="1:14" ht="12.75" hidden="1" outlineLevel="1">
      <c r="A61" s="90"/>
      <c r="B61" s="91" t="s">
        <v>143</v>
      </c>
      <c r="C61" s="90" t="s">
        <v>287</v>
      </c>
      <c r="D61" s="147">
        <v>18</v>
      </c>
      <c r="E61" s="90"/>
      <c r="F61" s="90"/>
      <c r="G61" s="90"/>
      <c r="H61" s="90"/>
      <c r="I61" s="90"/>
      <c r="J61" s="90"/>
      <c r="K61" s="90"/>
      <c r="L61" s="90"/>
      <c r="M61" s="90"/>
      <c r="N61" s="90"/>
    </row>
    <row r="62" spans="1:14" ht="12.75" hidden="1" outlineLevel="1">
      <c r="A62" s="90"/>
      <c r="B62" s="91" t="s">
        <v>144</v>
      </c>
      <c r="C62" s="90" t="s">
        <v>438</v>
      </c>
      <c r="D62" s="147">
        <v>15</v>
      </c>
      <c r="E62" s="90"/>
      <c r="F62" s="90"/>
      <c r="G62" s="90"/>
      <c r="H62" s="96"/>
      <c r="I62" s="97"/>
      <c r="J62" s="97"/>
      <c r="K62" s="97"/>
      <c r="L62" s="98"/>
      <c r="M62" s="96"/>
      <c r="N62" s="97"/>
    </row>
    <row r="63" spans="1:14" ht="12.75" hidden="1" outlineLevel="1">
      <c r="A63" s="90"/>
      <c r="B63" s="91" t="s">
        <v>153</v>
      </c>
      <c r="C63" s="90" t="s">
        <v>444</v>
      </c>
      <c r="D63" s="147">
        <v>9</v>
      </c>
      <c r="E63" s="90"/>
      <c r="F63" s="90"/>
      <c r="G63" s="90"/>
      <c r="H63" s="96"/>
      <c r="I63" s="99"/>
      <c r="J63" s="99"/>
      <c r="K63" s="96"/>
      <c r="L63" s="98"/>
      <c r="M63" s="96"/>
      <c r="N63" s="96"/>
    </row>
    <row r="64" spans="1:14" ht="12.75" hidden="1" outlineLevel="1">
      <c r="A64" s="90"/>
      <c r="B64" s="91" t="s">
        <v>153</v>
      </c>
      <c r="C64" s="90" t="s">
        <v>446</v>
      </c>
      <c r="D64" s="147">
        <v>14</v>
      </c>
      <c r="E64" s="90"/>
      <c r="F64" s="90"/>
      <c r="G64" s="90"/>
      <c r="H64" s="96"/>
      <c r="I64" s="99"/>
      <c r="J64" s="99"/>
      <c r="K64" s="96"/>
      <c r="L64" s="98"/>
      <c r="M64" s="96"/>
      <c r="N64" s="96"/>
    </row>
    <row r="65" spans="1:14" ht="12.75" hidden="1" outlineLevel="1">
      <c r="A65" s="90"/>
      <c r="B65" s="91" t="s">
        <v>139</v>
      </c>
      <c r="C65" s="90" t="s">
        <v>551</v>
      </c>
      <c r="D65" s="147">
        <v>16</v>
      </c>
      <c r="E65" s="90"/>
      <c r="F65" s="90"/>
      <c r="G65" s="90"/>
      <c r="H65" s="96"/>
      <c r="I65" s="99"/>
      <c r="J65" s="99"/>
      <c r="K65" s="96"/>
      <c r="L65" s="96"/>
      <c r="M65" s="96"/>
      <c r="N65" s="96"/>
    </row>
    <row r="66" spans="1:14" ht="12.75" hidden="1" outlineLevel="1">
      <c r="A66" s="90"/>
      <c r="B66" s="91" t="s">
        <v>148</v>
      </c>
      <c r="C66" s="90" t="s">
        <v>552</v>
      </c>
      <c r="D66" s="147">
        <v>18</v>
      </c>
      <c r="E66" s="90"/>
      <c r="F66" s="90"/>
      <c r="G66" s="90"/>
      <c r="H66" s="96"/>
      <c r="I66" s="99"/>
      <c r="J66" s="99"/>
      <c r="K66" s="96"/>
      <c r="L66" s="98"/>
      <c r="M66" s="96"/>
      <c r="N66" s="96"/>
    </row>
    <row r="67" spans="1:14" ht="12.75" hidden="1" outlineLevel="1">
      <c r="A67" s="90"/>
      <c r="B67" s="91" t="s">
        <v>154</v>
      </c>
      <c r="C67" s="90" t="s">
        <v>352</v>
      </c>
      <c r="D67" s="147">
        <v>13</v>
      </c>
      <c r="E67" s="90"/>
      <c r="F67" s="90"/>
      <c r="G67" s="90"/>
      <c r="H67" s="96"/>
      <c r="I67" s="99"/>
      <c r="J67" s="99"/>
      <c r="K67" s="96"/>
      <c r="L67" s="98"/>
      <c r="M67" s="96"/>
      <c r="N67" s="96"/>
    </row>
    <row r="68" spans="1:14" ht="12.75" hidden="1" outlineLevel="1">
      <c r="A68" s="90"/>
      <c r="B68" s="91" t="s">
        <v>154</v>
      </c>
      <c r="C68" s="90" t="s">
        <v>342</v>
      </c>
      <c r="D68" s="147">
        <v>18</v>
      </c>
      <c r="E68" s="90"/>
      <c r="F68" s="90"/>
      <c r="G68" s="90"/>
      <c r="H68" s="90"/>
      <c r="I68" s="90"/>
      <c r="J68" s="90"/>
      <c r="K68" s="90"/>
      <c r="L68" s="90"/>
      <c r="M68" s="90"/>
      <c r="N68" s="90"/>
    </row>
    <row r="69" spans="1:14" ht="12.75" hidden="1" outlineLevel="1">
      <c r="A69" s="90"/>
      <c r="B69" s="91" t="s">
        <v>336</v>
      </c>
      <c r="C69" s="90" t="s">
        <v>281</v>
      </c>
      <c r="D69" s="200">
        <v>12</v>
      </c>
      <c r="E69" s="90"/>
      <c r="F69" s="90"/>
      <c r="G69" s="90"/>
      <c r="H69" s="90"/>
      <c r="I69" s="90"/>
      <c r="J69" s="90"/>
      <c r="K69" s="90"/>
      <c r="L69" s="90"/>
      <c r="M69" s="90"/>
      <c r="N69" s="90"/>
    </row>
    <row r="70" spans="1:14" ht="12.75" hidden="1" outlineLevel="1">
      <c r="A70" s="90"/>
      <c r="B70" s="91" t="s">
        <v>334</v>
      </c>
      <c r="C70" s="90" t="s">
        <v>350</v>
      </c>
      <c r="D70" s="147">
        <v>9</v>
      </c>
      <c r="E70" s="90"/>
      <c r="F70" s="90"/>
      <c r="G70" s="90"/>
      <c r="H70" s="90"/>
      <c r="I70" s="90"/>
      <c r="J70" s="90"/>
      <c r="K70" s="90"/>
      <c r="L70" s="90"/>
      <c r="M70" s="90"/>
      <c r="N70" s="90"/>
    </row>
    <row r="71" spans="1:14" ht="12.75" hidden="1" outlineLevel="1">
      <c r="A71" s="90"/>
      <c r="B71" s="91" t="s">
        <v>145</v>
      </c>
      <c r="C71" s="90" t="s">
        <v>439</v>
      </c>
      <c r="D71" s="147">
        <v>17</v>
      </c>
      <c r="E71" s="90"/>
      <c r="F71" s="90"/>
      <c r="G71" s="90"/>
      <c r="H71" s="90"/>
      <c r="I71" s="90"/>
      <c r="J71" s="90"/>
      <c r="K71" s="90"/>
      <c r="L71" s="90"/>
      <c r="M71" s="90"/>
      <c r="N71" s="90"/>
    </row>
    <row r="72" spans="1:14" ht="12.75" hidden="1" outlineLevel="1">
      <c r="A72" s="90"/>
      <c r="B72" s="91" t="s">
        <v>335</v>
      </c>
      <c r="C72" s="90" t="s">
        <v>283</v>
      </c>
      <c r="D72" s="147">
        <v>17</v>
      </c>
      <c r="E72" s="90"/>
      <c r="F72" s="90"/>
      <c r="G72" s="90"/>
      <c r="H72" s="90"/>
      <c r="I72" s="90"/>
      <c r="J72" s="90"/>
      <c r="K72" s="90"/>
      <c r="L72" s="90"/>
      <c r="M72" s="90"/>
      <c r="N72" s="90"/>
    </row>
    <row r="73" spans="1:14" ht="12.75" hidden="1" outlineLevel="1">
      <c r="A73" s="90"/>
      <c r="B73" s="91" t="s">
        <v>152</v>
      </c>
      <c r="C73" s="90" t="s">
        <v>291</v>
      </c>
      <c r="D73" s="147">
        <v>17</v>
      </c>
      <c r="E73" s="90"/>
      <c r="F73" s="90"/>
      <c r="G73" s="90"/>
      <c r="H73" s="90"/>
      <c r="I73" s="90"/>
      <c r="J73" s="90"/>
      <c r="K73" s="90"/>
      <c r="L73" s="90"/>
      <c r="M73" s="90"/>
      <c r="N73" s="90"/>
    </row>
    <row r="74" spans="1:14" ht="12.75" hidden="1" outlineLevel="1">
      <c r="A74" s="90"/>
      <c r="B74" s="91" t="s">
        <v>149</v>
      </c>
      <c r="C74" s="90" t="s">
        <v>277</v>
      </c>
      <c r="D74" s="147">
        <v>18</v>
      </c>
      <c r="E74" s="90"/>
      <c r="F74" s="90"/>
      <c r="G74" s="90"/>
      <c r="H74" s="90"/>
      <c r="I74" s="90"/>
      <c r="J74" s="90"/>
      <c r="K74" s="90"/>
      <c r="L74" s="90"/>
      <c r="M74" s="90"/>
      <c r="N74" s="90"/>
    </row>
    <row r="75" spans="1:14" ht="12.75" hidden="1" outlineLevel="1">
      <c r="A75" s="90"/>
      <c r="B75" s="91" t="s">
        <v>150</v>
      </c>
      <c r="C75" s="90" t="s">
        <v>278</v>
      </c>
      <c r="D75" s="147">
        <v>11</v>
      </c>
      <c r="E75" s="90"/>
      <c r="F75" s="90"/>
      <c r="G75" s="90"/>
      <c r="H75" s="90"/>
      <c r="I75" s="90"/>
      <c r="J75" s="90"/>
      <c r="K75" s="90"/>
      <c r="L75" s="90"/>
      <c r="M75" s="90"/>
      <c r="N75" s="90"/>
    </row>
    <row r="76" spans="1:14" ht="12.75" hidden="1" outlineLevel="1">
      <c r="A76" s="90"/>
      <c r="B76" s="91" t="s">
        <v>155</v>
      </c>
      <c r="C76" s="90" t="s">
        <v>351</v>
      </c>
      <c r="D76" s="147">
        <v>17</v>
      </c>
      <c r="E76" s="90"/>
      <c r="F76" s="90"/>
      <c r="G76" s="90"/>
      <c r="H76" s="90"/>
      <c r="I76" s="90"/>
      <c r="J76" s="90"/>
      <c r="K76" s="90"/>
      <c r="L76" s="90"/>
      <c r="M76" s="90"/>
      <c r="N76" s="90"/>
    </row>
    <row r="77" spans="1:14" ht="12.75" hidden="1" outlineLevel="1">
      <c r="A77" s="90"/>
      <c r="B77" s="91" t="s">
        <v>155</v>
      </c>
      <c r="C77" s="90" t="s">
        <v>279</v>
      </c>
      <c r="D77" s="147">
        <v>15</v>
      </c>
      <c r="E77" s="90"/>
      <c r="F77" s="90"/>
      <c r="G77" s="90"/>
      <c r="H77" s="90"/>
      <c r="I77" s="90"/>
      <c r="J77" s="90"/>
      <c r="K77" s="90"/>
      <c r="L77" s="90"/>
      <c r="M77" s="90"/>
      <c r="N77" s="90"/>
    </row>
    <row r="78" spans="1:14" ht="12.75" hidden="1" outlineLevel="1">
      <c r="A78" s="90"/>
      <c r="B78" s="91" t="s">
        <v>147</v>
      </c>
      <c r="C78" s="90" t="s">
        <v>353</v>
      </c>
      <c r="D78" s="147">
        <v>7</v>
      </c>
      <c r="E78" s="90"/>
      <c r="F78" s="90"/>
      <c r="G78" s="90"/>
      <c r="H78" s="90"/>
      <c r="I78" s="90"/>
      <c r="J78" s="90"/>
      <c r="K78" s="90"/>
      <c r="L78" s="90"/>
      <c r="M78" s="90"/>
      <c r="N78" s="90"/>
    </row>
    <row r="79" spans="1:14" ht="12.75" hidden="1" outlineLevel="1">
      <c r="A79" s="90"/>
      <c r="B79" s="91" t="s">
        <v>151</v>
      </c>
      <c r="C79" s="90" t="s">
        <v>282</v>
      </c>
      <c r="D79" s="147">
        <v>14</v>
      </c>
      <c r="E79" s="90"/>
      <c r="F79" s="90"/>
      <c r="G79" s="90"/>
      <c r="H79" s="90"/>
      <c r="I79" s="90"/>
      <c r="J79" s="90"/>
      <c r="K79" s="90"/>
      <c r="L79" s="90"/>
      <c r="M79" s="90"/>
      <c r="N79" s="90"/>
    </row>
    <row r="80" spans="1:14" ht="12.75" hidden="1" outlineLevel="1">
      <c r="A80" s="90"/>
      <c r="B80" s="91" t="s">
        <v>337</v>
      </c>
      <c r="C80" s="90" t="s">
        <v>553</v>
      </c>
      <c r="D80" s="147">
        <v>12</v>
      </c>
      <c r="E80" s="90"/>
      <c r="F80" s="90"/>
      <c r="G80" s="90"/>
      <c r="H80" s="90"/>
      <c r="I80" s="90"/>
      <c r="J80" s="90"/>
      <c r="K80" s="90"/>
      <c r="L80" s="90"/>
      <c r="M80" s="90"/>
      <c r="N80" s="90"/>
    </row>
    <row r="81" spans="1:14" ht="12.75" hidden="1" outlineLevel="1">
      <c r="A81" s="90"/>
      <c r="B81" s="91" t="s">
        <v>156</v>
      </c>
      <c r="C81" s="90" t="s">
        <v>288</v>
      </c>
      <c r="D81" s="147">
        <v>15</v>
      </c>
      <c r="E81" s="90"/>
      <c r="F81" s="90"/>
      <c r="G81" s="90"/>
      <c r="H81" s="90"/>
      <c r="I81" s="90"/>
      <c r="J81" s="90"/>
      <c r="K81" s="90"/>
      <c r="L81" s="90"/>
      <c r="M81" s="90"/>
      <c r="N81" s="90"/>
    </row>
    <row r="82" spans="1:14" ht="12.75" collapsed="1">
      <c r="A82" s="90"/>
      <c r="B82" s="90"/>
      <c r="C82" s="90"/>
      <c r="D82" s="90"/>
      <c r="E82" s="90"/>
      <c r="F82" s="90"/>
      <c r="G82" s="90"/>
      <c r="H82" s="90"/>
      <c r="I82" s="90"/>
      <c r="J82" s="90"/>
      <c r="K82" s="90"/>
      <c r="L82" s="90"/>
      <c r="M82" s="90"/>
      <c r="N82" s="90"/>
    </row>
    <row r="83" spans="1:14" s="108" customFormat="1" ht="12.75">
      <c r="A83" s="107"/>
      <c r="B83" s="107" t="str">
        <f>CONCATENATE("Average = ",INT(AVERAGE($D52:$D81)))</f>
        <v>Average = 14</v>
      </c>
      <c r="C83" s="107"/>
      <c r="D83" s="107"/>
      <c r="E83" s="107"/>
      <c r="F83" s="107"/>
      <c r="G83" s="107"/>
      <c r="H83" s="107"/>
      <c r="I83" s="107"/>
      <c r="J83" s="107"/>
      <c r="K83" s="107"/>
      <c r="L83" s="107"/>
      <c r="M83" s="107"/>
      <c r="N83" s="107"/>
    </row>
    <row r="84" spans="1:14" s="108" customFormat="1" ht="12.75">
      <c r="A84" s="107"/>
      <c r="B84" s="107" t="str">
        <f>CONCATENATE("Low = ",MIN($D52:$D81))</f>
        <v>Low = 7</v>
      </c>
      <c r="C84" s="107"/>
      <c r="D84" s="107"/>
      <c r="E84" s="107"/>
      <c r="F84" s="107"/>
      <c r="G84" s="107"/>
      <c r="H84" s="107"/>
      <c r="I84" s="107"/>
      <c r="J84" s="107"/>
      <c r="K84" s="107"/>
      <c r="L84" s="107"/>
      <c r="M84" s="107"/>
      <c r="N84" s="107"/>
    </row>
    <row r="85" spans="1:14" s="108" customFormat="1" ht="12.75">
      <c r="A85" s="107"/>
      <c r="B85" s="107" t="str">
        <f>CONCATENATE("High = ",MAX($D52:$D81))</f>
        <v>High = 20</v>
      </c>
      <c r="C85" s="107"/>
      <c r="D85" s="107"/>
      <c r="E85" s="107"/>
      <c r="F85" s="107"/>
      <c r="G85" s="107"/>
      <c r="H85" s="107"/>
      <c r="I85" s="107"/>
      <c r="J85" s="107"/>
      <c r="K85" s="107"/>
      <c r="L85" s="107"/>
      <c r="M85" s="107"/>
      <c r="N85" s="107"/>
    </row>
    <row r="86" spans="1:14" ht="12.75">
      <c r="A86" s="90"/>
      <c r="B86" s="90"/>
      <c r="C86" s="90"/>
      <c r="D86" s="90"/>
      <c r="E86" s="90"/>
      <c r="F86" s="90"/>
      <c r="G86" s="90"/>
      <c r="H86" s="90"/>
      <c r="I86" s="90"/>
      <c r="J86" s="90"/>
      <c r="K86" s="90"/>
      <c r="L86" s="90"/>
      <c r="M86" s="90"/>
      <c r="N86" s="90"/>
    </row>
    <row r="87" spans="1:14" ht="12.75">
      <c r="A87" s="90"/>
      <c r="B87" s="90"/>
      <c r="C87" s="139" t="s">
        <v>1323</v>
      </c>
      <c r="D87" s="90"/>
      <c r="E87" s="90"/>
      <c r="F87" s="90"/>
      <c r="G87" s="90"/>
      <c r="H87" s="90"/>
      <c r="I87" s="90"/>
      <c r="J87" s="90"/>
      <c r="K87" s="90"/>
      <c r="L87" s="90"/>
      <c r="M87" s="90"/>
      <c r="N87" s="90"/>
    </row>
    <row r="88" spans="1:14" ht="12.75">
      <c r="A88" s="90"/>
      <c r="B88" s="90"/>
      <c r="C88" s="90" t="s">
        <v>24</v>
      </c>
      <c r="D88" s="90"/>
      <c r="E88" s="90"/>
      <c r="F88" s="90"/>
      <c r="G88" s="90"/>
      <c r="H88" s="90"/>
      <c r="I88" s="90"/>
      <c r="J88" s="90"/>
      <c r="K88" s="90"/>
      <c r="L88" s="90"/>
      <c r="M88" s="90"/>
      <c r="N88" s="90"/>
    </row>
    <row r="89" spans="1:14" ht="12.75" hidden="1" outlineLevel="1">
      <c r="A89" s="90"/>
      <c r="B89" s="90"/>
      <c r="C89" s="90"/>
      <c r="D89" s="90"/>
      <c r="E89" s="90"/>
      <c r="F89" s="90"/>
      <c r="G89" s="90"/>
      <c r="H89" s="90"/>
      <c r="I89" s="90"/>
      <c r="J89" s="90"/>
      <c r="K89" s="90"/>
      <c r="L89" s="90"/>
      <c r="M89" s="90"/>
      <c r="N89" s="90"/>
    </row>
    <row r="90" spans="1:14" s="140" customFormat="1" ht="12.75" hidden="1" outlineLevel="1">
      <c r="A90" s="90"/>
      <c r="B90" s="90"/>
      <c r="C90" s="106">
        <v>2011</v>
      </c>
      <c r="D90" s="106">
        <v>2014</v>
      </c>
      <c r="E90" s="278" t="s">
        <v>1322</v>
      </c>
      <c r="F90" s="278"/>
      <c r="G90" s="90"/>
      <c r="H90" s="96"/>
      <c r="I90" s="97" t="s">
        <v>1508</v>
      </c>
      <c r="J90" s="97" t="s">
        <v>1511</v>
      </c>
      <c r="K90" s="102"/>
      <c r="L90" s="90"/>
      <c r="M90" s="90"/>
      <c r="N90" s="90"/>
    </row>
    <row r="91" spans="1:14" s="140" customFormat="1" ht="12.75" hidden="1" outlineLevel="1">
      <c r="A91" s="90"/>
      <c r="B91" s="90"/>
      <c r="C91" s="90" t="s">
        <v>1520</v>
      </c>
      <c r="D91" s="90" t="str">
        <f>B83</f>
        <v>Average = 14</v>
      </c>
      <c r="E91" s="189">
        <f>(J91-I91)/I91</f>
        <v>-0.06666666666666667</v>
      </c>
      <c r="F91" s="147"/>
      <c r="G91" s="90"/>
      <c r="H91" s="96" t="s">
        <v>1510</v>
      </c>
      <c r="I91" s="99">
        <v>15</v>
      </c>
      <c r="J91" s="99">
        <v>14</v>
      </c>
      <c r="K91" s="104"/>
      <c r="L91" s="90"/>
      <c r="M91" s="90"/>
      <c r="N91" s="90"/>
    </row>
    <row r="92" spans="1:14" ht="12.75" collapsed="1">
      <c r="A92" s="90"/>
      <c r="B92" s="90"/>
      <c r="C92" s="90"/>
      <c r="D92" s="90"/>
      <c r="E92" s="90"/>
      <c r="F92" s="90"/>
      <c r="G92" s="90"/>
      <c r="H92" s="96"/>
      <c r="I92" s="99"/>
      <c r="J92" s="99"/>
      <c r="K92" s="90"/>
      <c r="L92" s="90"/>
      <c r="M92" s="90"/>
      <c r="N92" s="90"/>
    </row>
    <row r="93" spans="1:14" s="113" customFormat="1" ht="15.75">
      <c r="A93" s="111">
        <v>3</v>
      </c>
      <c r="B93" s="112" t="s">
        <v>297</v>
      </c>
      <c r="C93" s="112"/>
      <c r="D93" s="112"/>
      <c r="E93" s="112"/>
      <c r="F93" s="112"/>
      <c r="G93" s="112"/>
      <c r="H93" s="114"/>
      <c r="I93" s="115"/>
      <c r="J93" s="115"/>
      <c r="K93" s="115"/>
      <c r="L93" s="116"/>
      <c r="M93" s="114"/>
      <c r="N93" s="115"/>
    </row>
    <row r="94" spans="1:14" s="132" customFormat="1" ht="12.75" hidden="1" outlineLevel="1">
      <c r="A94" s="127"/>
      <c r="B94" s="126" t="s">
        <v>324</v>
      </c>
      <c r="C94" s="126" t="s">
        <v>189</v>
      </c>
      <c r="D94" s="142" t="s">
        <v>1471</v>
      </c>
      <c r="E94" s="126"/>
      <c r="F94" s="126"/>
      <c r="G94" s="126"/>
      <c r="H94" s="130"/>
      <c r="I94" s="136"/>
      <c r="J94" s="136"/>
      <c r="K94" s="130"/>
      <c r="L94" s="137"/>
      <c r="M94" s="130"/>
      <c r="N94" s="130"/>
    </row>
    <row r="95" spans="1:14" ht="12.75" hidden="1" outlineLevel="1">
      <c r="A95" s="90"/>
      <c r="B95" s="91" t="s">
        <v>140</v>
      </c>
      <c r="C95" s="90" t="s">
        <v>341</v>
      </c>
      <c r="D95" s="147">
        <v>2</v>
      </c>
      <c r="E95" s="90"/>
      <c r="F95" s="90"/>
      <c r="G95" s="90"/>
      <c r="H95" s="96"/>
      <c r="I95" s="99"/>
      <c r="J95" s="99"/>
      <c r="K95" s="96"/>
      <c r="L95" s="98"/>
      <c r="M95" s="96"/>
      <c r="N95" s="96"/>
    </row>
    <row r="96" spans="1:14" ht="12.75" hidden="1" outlineLevel="1">
      <c r="A96" s="90"/>
      <c r="B96" s="91" t="s">
        <v>332</v>
      </c>
      <c r="C96" s="90" t="s">
        <v>436</v>
      </c>
      <c r="D96" s="147">
        <v>2</v>
      </c>
      <c r="E96" s="90"/>
      <c r="F96" s="90"/>
      <c r="G96" s="90"/>
      <c r="H96" s="96"/>
      <c r="I96" s="99"/>
      <c r="J96" s="99"/>
      <c r="K96" s="96"/>
      <c r="L96" s="96"/>
      <c r="M96" s="96"/>
      <c r="N96" s="96"/>
    </row>
    <row r="97" spans="1:14" ht="12.75" hidden="1" outlineLevel="1">
      <c r="A97" s="90"/>
      <c r="B97" s="91" t="s">
        <v>146</v>
      </c>
      <c r="C97" s="90" t="s">
        <v>349</v>
      </c>
      <c r="D97" s="147">
        <v>2</v>
      </c>
      <c r="E97" s="90"/>
      <c r="F97" s="90"/>
      <c r="G97" s="90"/>
      <c r="H97" s="96"/>
      <c r="I97" s="99"/>
      <c r="J97" s="99"/>
      <c r="K97" s="96"/>
      <c r="L97" s="98"/>
      <c r="M97" s="96"/>
      <c r="N97" s="96"/>
    </row>
    <row r="98" spans="1:14" ht="12.75" hidden="1" outlineLevel="1">
      <c r="A98" s="90"/>
      <c r="B98" s="91" t="s">
        <v>146</v>
      </c>
      <c r="C98" s="90" t="s">
        <v>550</v>
      </c>
      <c r="D98" s="147">
        <v>2</v>
      </c>
      <c r="E98" s="90"/>
      <c r="F98" s="90"/>
      <c r="G98" s="90"/>
      <c r="H98" s="96"/>
      <c r="I98" s="99"/>
      <c r="J98" s="99"/>
      <c r="K98" s="96"/>
      <c r="L98" s="98"/>
      <c r="M98" s="96"/>
      <c r="N98" s="96"/>
    </row>
    <row r="99" spans="1:14" ht="12.75" hidden="1" outlineLevel="1">
      <c r="A99" s="90"/>
      <c r="B99" s="91" t="s">
        <v>153</v>
      </c>
      <c r="C99" s="90" t="s">
        <v>444</v>
      </c>
      <c r="D99" s="147">
        <v>2</v>
      </c>
      <c r="E99" s="90"/>
      <c r="F99" s="90"/>
      <c r="G99" s="90"/>
      <c r="H99" s="90"/>
      <c r="I99" s="90"/>
      <c r="J99" s="90"/>
      <c r="K99" s="90"/>
      <c r="L99" s="90"/>
      <c r="M99" s="90"/>
      <c r="N99" s="90"/>
    </row>
    <row r="100" spans="1:14" ht="12.75" hidden="1" outlineLevel="1">
      <c r="A100" s="90"/>
      <c r="B100" s="91" t="s">
        <v>148</v>
      </c>
      <c r="C100" s="90" t="s">
        <v>552</v>
      </c>
      <c r="D100" s="147">
        <v>2</v>
      </c>
      <c r="E100" s="90"/>
      <c r="F100" s="90"/>
      <c r="G100" s="90"/>
      <c r="H100" s="90"/>
      <c r="I100" s="90"/>
      <c r="J100" s="90"/>
      <c r="K100" s="90"/>
      <c r="L100" s="90"/>
      <c r="M100" s="90"/>
      <c r="N100" s="90"/>
    </row>
    <row r="101" spans="1:14" ht="12.75" hidden="1" outlineLevel="1">
      <c r="A101" s="90"/>
      <c r="B101" s="91" t="s">
        <v>154</v>
      </c>
      <c r="C101" s="90" t="s">
        <v>352</v>
      </c>
      <c r="D101" s="147">
        <v>2</v>
      </c>
      <c r="E101" s="90"/>
      <c r="F101" s="90"/>
      <c r="G101" s="90"/>
      <c r="H101" s="90"/>
      <c r="I101" s="90"/>
      <c r="J101" s="90"/>
      <c r="K101" s="90"/>
      <c r="L101" s="90"/>
      <c r="M101" s="90"/>
      <c r="N101" s="90"/>
    </row>
    <row r="102" spans="1:14" ht="12.75" hidden="1" outlineLevel="1">
      <c r="A102" s="90"/>
      <c r="B102" s="91" t="s">
        <v>154</v>
      </c>
      <c r="C102" s="90" t="s">
        <v>342</v>
      </c>
      <c r="D102" s="147">
        <v>2</v>
      </c>
      <c r="E102" s="90"/>
      <c r="F102" s="90"/>
      <c r="G102" s="90"/>
      <c r="H102" s="90"/>
      <c r="I102" s="90"/>
      <c r="J102" s="90"/>
      <c r="K102" s="90"/>
      <c r="L102" s="90"/>
      <c r="M102" s="90"/>
      <c r="N102" s="90"/>
    </row>
    <row r="103" spans="1:14" ht="12.75" hidden="1" outlineLevel="1">
      <c r="A103" s="90"/>
      <c r="B103" s="91" t="s">
        <v>336</v>
      </c>
      <c r="C103" s="90" t="s">
        <v>281</v>
      </c>
      <c r="D103" s="200">
        <v>2</v>
      </c>
      <c r="E103" s="90"/>
      <c r="F103" s="90"/>
      <c r="G103" s="90"/>
      <c r="H103" s="90"/>
      <c r="I103" s="90"/>
      <c r="J103" s="90"/>
      <c r="K103" s="90"/>
      <c r="L103" s="90"/>
      <c r="M103" s="90"/>
      <c r="N103" s="90"/>
    </row>
    <row r="104" spans="1:14" ht="12.75" hidden="1" outlineLevel="1">
      <c r="A104" s="90"/>
      <c r="B104" s="91" t="s">
        <v>149</v>
      </c>
      <c r="C104" s="90" t="s">
        <v>277</v>
      </c>
      <c r="D104" s="147">
        <v>2</v>
      </c>
      <c r="E104" s="90"/>
      <c r="F104" s="90"/>
      <c r="G104" s="90"/>
      <c r="H104" s="90"/>
      <c r="I104" s="90"/>
      <c r="J104" s="90"/>
      <c r="K104" s="90"/>
      <c r="L104" s="90"/>
      <c r="M104" s="90"/>
      <c r="N104" s="90"/>
    </row>
    <row r="105" spans="1:14" ht="12.75" hidden="1" outlineLevel="1">
      <c r="A105" s="90"/>
      <c r="B105" s="91" t="s">
        <v>150</v>
      </c>
      <c r="C105" s="90" t="s">
        <v>278</v>
      </c>
      <c r="D105" s="147">
        <v>2</v>
      </c>
      <c r="E105" s="90"/>
      <c r="F105" s="90"/>
      <c r="G105" s="90"/>
      <c r="H105" s="90"/>
      <c r="I105" s="90"/>
      <c r="J105" s="90"/>
      <c r="K105" s="90"/>
      <c r="L105" s="90"/>
      <c r="M105" s="90"/>
      <c r="N105" s="90"/>
    </row>
    <row r="106" spans="1:14" ht="12.75" hidden="1" outlineLevel="1">
      <c r="A106" s="90"/>
      <c r="B106" s="91" t="s">
        <v>155</v>
      </c>
      <c r="C106" s="90" t="s">
        <v>351</v>
      </c>
      <c r="D106" s="147">
        <v>2</v>
      </c>
      <c r="E106" s="90"/>
      <c r="F106" s="90"/>
      <c r="G106" s="90"/>
      <c r="H106" s="90"/>
      <c r="I106" s="90"/>
      <c r="J106" s="90"/>
      <c r="K106" s="90"/>
      <c r="L106" s="90"/>
      <c r="M106" s="90"/>
      <c r="N106" s="90"/>
    </row>
    <row r="107" spans="1:14" ht="12.75" hidden="1" outlineLevel="1">
      <c r="A107" s="90"/>
      <c r="B107" s="91" t="s">
        <v>147</v>
      </c>
      <c r="C107" s="90" t="s">
        <v>353</v>
      </c>
      <c r="D107" s="147">
        <v>2</v>
      </c>
      <c r="E107" s="90"/>
      <c r="F107" s="90"/>
      <c r="G107" s="90"/>
      <c r="H107" s="90"/>
      <c r="I107" s="90"/>
      <c r="J107" s="90"/>
      <c r="K107" s="90"/>
      <c r="L107" s="90"/>
      <c r="M107" s="90"/>
      <c r="N107" s="90"/>
    </row>
    <row r="108" spans="1:14" ht="12.75" hidden="1" outlineLevel="1">
      <c r="A108" s="90"/>
      <c r="B108" s="91" t="s">
        <v>337</v>
      </c>
      <c r="C108" s="90" t="s">
        <v>553</v>
      </c>
      <c r="D108" s="147">
        <v>2</v>
      </c>
      <c r="E108" s="90"/>
      <c r="F108" s="90"/>
      <c r="G108" s="90"/>
      <c r="H108" s="90"/>
      <c r="I108" s="90"/>
      <c r="J108" s="90"/>
      <c r="K108" s="90"/>
      <c r="L108" s="90"/>
      <c r="M108" s="90"/>
      <c r="N108" s="90"/>
    </row>
    <row r="109" spans="1:14" ht="12.75" hidden="1" outlineLevel="1">
      <c r="A109" s="90"/>
      <c r="B109" s="91" t="s">
        <v>156</v>
      </c>
      <c r="C109" s="90" t="s">
        <v>288</v>
      </c>
      <c r="D109" s="147">
        <v>2</v>
      </c>
      <c r="E109" s="90"/>
      <c r="F109" s="90"/>
      <c r="G109" s="90"/>
      <c r="H109" s="90"/>
      <c r="I109" s="90"/>
      <c r="J109" s="90"/>
      <c r="K109" s="90"/>
      <c r="L109" s="90"/>
      <c r="M109" s="90"/>
      <c r="N109" s="90"/>
    </row>
    <row r="110" spans="1:14" ht="12.75" hidden="1" outlineLevel="1">
      <c r="A110" s="90"/>
      <c r="B110" s="91" t="s">
        <v>332</v>
      </c>
      <c r="C110" s="90" t="s">
        <v>286</v>
      </c>
      <c r="D110" s="147">
        <v>3</v>
      </c>
      <c r="E110" s="90"/>
      <c r="F110" s="90"/>
      <c r="G110" s="90"/>
      <c r="H110" s="90"/>
      <c r="I110" s="90"/>
      <c r="J110" s="90"/>
      <c r="K110" s="90"/>
      <c r="L110" s="90"/>
      <c r="M110" s="90"/>
      <c r="N110" s="90"/>
    </row>
    <row r="111" spans="1:14" ht="12.75" hidden="1" outlineLevel="1">
      <c r="A111" s="90"/>
      <c r="B111" s="91" t="s">
        <v>141</v>
      </c>
      <c r="C111" s="90" t="s">
        <v>445</v>
      </c>
      <c r="D111" s="147">
        <v>3</v>
      </c>
      <c r="E111" s="90"/>
      <c r="F111" s="90"/>
      <c r="G111" s="90"/>
      <c r="H111" s="90"/>
      <c r="I111" s="90"/>
      <c r="J111" s="90"/>
      <c r="K111" s="90"/>
      <c r="L111" s="90"/>
      <c r="M111" s="90"/>
      <c r="N111" s="90"/>
    </row>
    <row r="112" spans="1:14" ht="12.75" hidden="1" outlineLevel="1">
      <c r="A112" s="90"/>
      <c r="B112" s="91" t="s">
        <v>142</v>
      </c>
      <c r="C112" s="90" t="s">
        <v>343</v>
      </c>
      <c r="D112" s="147">
        <v>3</v>
      </c>
      <c r="E112" s="90"/>
      <c r="F112" s="90"/>
      <c r="G112" s="90"/>
      <c r="H112" s="90"/>
      <c r="I112" s="90"/>
      <c r="J112" s="90"/>
      <c r="K112" s="90"/>
      <c r="L112" s="90"/>
      <c r="M112" s="90"/>
      <c r="N112" s="90"/>
    </row>
    <row r="113" spans="1:14" ht="12.75" hidden="1" outlineLevel="1">
      <c r="A113" s="90"/>
      <c r="B113" s="91" t="s">
        <v>143</v>
      </c>
      <c r="C113" s="90" t="s">
        <v>437</v>
      </c>
      <c r="D113" s="147">
        <v>3</v>
      </c>
      <c r="E113" s="90"/>
      <c r="F113" s="90"/>
      <c r="G113" s="90"/>
      <c r="H113" s="90"/>
      <c r="I113" s="90"/>
      <c r="J113" s="90"/>
      <c r="K113" s="90"/>
      <c r="L113" s="90"/>
      <c r="M113" s="90"/>
      <c r="N113" s="90"/>
    </row>
    <row r="114" spans="1:14" ht="12.75" hidden="1" outlineLevel="1">
      <c r="A114" s="90"/>
      <c r="B114" s="91" t="s">
        <v>153</v>
      </c>
      <c r="C114" s="90" t="s">
        <v>446</v>
      </c>
      <c r="D114" s="147">
        <v>3</v>
      </c>
      <c r="E114" s="90"/>
      <c r="F114" s="90"/>
      <c r="G114" s="90"/>
      <c r="H114" s="90"/>
      <c r="I114" s="90"/>
      <c r="J114" s="90"/>
      <c r="K114" s="90"/>
      <c r="L114" s="90"/>
      <c r="M114" s="90"/>
      <c r="N114" s="90"/>
    </row>
    <row r="115" spans="1:14" ht="12.75" hidden="1" outlineLevel="1">
      <c r="A115" s="90"/>
      <c r="B115" s="91" t="s">
        <v>139</v>
      </c>
      <c r="C115" s="90" t="s">
        <v>551</v>
      </c>
      <c r="D115" s="147">
        <v>3</v>
      </c>
      <c r="E115" s="90"/>
      <c r="F115" s="90"/>
      <c r="G115" s="90"/>
      <c r="H115" s="90"/>
      <c r="I115" s="90"/>
      <c r="J115" s="90"/>
      <c r="K115" s="90"/>
      <c r="L115" s="90"/>
      <c r="M115" s="90"/>
      <c r="N115" s="90"/>
    </row>
    <row r="116" spans="1:14" ht="12.75" hidden="1" outlineLevel="1">
      <c r="A116" s="90"/>
      <c r="B116" s="91" t="s">
        <v>334</v>
      </c>
      <c r="C116" s="90" t="s">
        <v>350</v>
      </c>
      <c r="D116" s="147">
        <v>3</v>
      </c>
      <c r="E116" s="90"/>
      <c r="F116" s="90"/>
      <c r="G116" s="90"/>
      <c r="H116" s="90"/>
      <c r="I116" s="90"/>
      <c r="J116" s="90"/>
      <c r="K116" s="90"/>
      <c r="L116" s="90"/>
      <c r="M116" s="90"/>
      <c r="N116" s="90"/>
    </row>
    <row r="117" spans="1:14" ht="12.75" hidden="1" outlineLevel="1">
      <c r="A117" s="90"/>
      <c r="B117" s="91" t="s">
        <v>145</v>
      </c>
      <c r="C117" s="90" t="s">
        <v>439</v>
      </c>
      <c r="D117" s="147">
        <v>3</v>
      </c>
      <c r="E117" s="90"/>
      <c r="F117" s="90"/>
      <c r="G117" s="90"/>
      <c r="H117" s="90"/>
      <c r="I117" s="90"/>
      <c r="J117" s="90"/>
      <c r="K117" s="90"/>
      <c r="L117" s="90"/>
      <c r="M117" s="90"/>
      <c r="N117" s="90"/>
    </row>
    <row r="118" spans="1:14" ht="12.75" hidden="1" outlineLevel="1">
      <c r="A118" s="90"/>
      <c r="B118" s="91" t="s">
        <v>335</v>
      </c>
      <c r="C118" s="90" t="s">
        <v>283</v>
      </c>
      <c r="D118" s="147">
        <v>3</v>
      </c>
      <c r="E118" s="90"/>
      <c r="F118" s="90"/>
      <c r="G118" s="90"/>
      <c r="H118" s="90"/>
      <c r="I118" s="90"/>
      <c r="J118" s="90"/>
      <c r="K118" s="90"/>
      <c r="L118" s="90"/>
      <c r="M118" s="90"/>
      <c r="N118" s="90"/>
    </row>
    <row r="119" spans="1:14" ht="12.75" hidden="1" outlineLevel="1">
      <c r="A119" s="90"/>
      <c r="B119" s="91" t="s">
        <v>152</v>
      </c>
      <c r="C119" s="90" t="s">
        <v>291</v>
      </c>
      <c r="D119" s="147">
        <v>3</v>
      </c>
      <c r="E119" s="90"/>
      <c r="F119" s="90"/>
      <c r="G119" s="90"/>
      <c r="H119" s="90"/>
      <c r="I119" s="90"/>
      <c r="J119" s="90"/>
      <c r="K119" s="90"/>
      <c r="L119" s="90"/>
      <c r="M119" s="90"/>
      <c r="N119" s="90"/>
    </row>
    <row r="120" spans="1:14" ht="12.75" hidden="1" outlineLevel="1">
      <c r="A120" s="90"/>
      <c r="B120" s="91" t="s">
        <v>151</v>
      </c>
      <c r="C120" s="90" t="s">
        <v>282</v>
      </c>
      <c r="D120" s="147">
        <v>3</v>
      </c>
      <c r="E120" s="90"/>
      <c r="F120" s="90"/>
      <c r="G120" s="90"/>
      <c r="H120" s="90"/>
      <c r="I120" s="90"/>
      <c r="J120" s="90"/>
      <c r="K120" s="90"/>
      <c r="L120" s="90"/>
      <c r="M120" s="90"/>
      <c r="N120" s="90"/>
    </row>
    <row r="121" spans="1:14" ht="12.75" hidden="1" outlineLevel="1">
      <c r="A121" s="90"/>
      <c r="B121" s="91" t="s">
        <v>332</v>
      </c>
      <c r="C121" s="90" t="s">
        <v>554</v>
      </c>
      <c r="D121" s="147" t="s">
        <v>190</v>
      </c>
      <c r="E121" s="90"/>
      <c r="F121" s="90"/>
      <c r="G121" s="90"/>
      <c r="H121" s="96"/>
      <c r="I121" s="97"/>
      <c r="J121" s="97"/>
      <c r="K121" s="97"/>
      <c r="L121" s="98"/>
      <c r="M121" s="96"/>
      <c r="N121" s="97"/>
    </row>
    <row r="122" spans="1:14" ht="12.75" hidden="1" outlineLevel="1">
      <c r="A122" s="90"/>
      <c r="B122" s="91" t="s">
        <v>143</v>
      </c>
      <c r="C122" s="90" t="s">
        <v>287</v>
      </c>
      <c r="D122" s="147" t="s">
        <v>190</v>
      </c>
      <c r="E122" s="90"/>
      <c r="F122" s="90"/>
      <c r="G122" s="90"/>
      <c r="H122" s="96"/>
      <c r="I122" s="99"/>
      <c r="J122" s="99"/>
      <c r="K122" s="96"/>
      <c r="L122" s="98"/>
      <c r="M122" s="96"/>
      <c r="N122" s="96"/>
    </row>
    <row r="123" spans="1:14" ht="12.75" hidden="1" outlineLevel="1">
      <c r="A123" s="90"/>
      <c r="B123" s="91" t="s">
        <v>144</v>
      </c>
      <c r="C123" s="90" t="s">
        <v>438</v>
      </c>
      <c r="D123" s="147" t="s">
        <v>190</v>
      </c>
      <c r="E123" s="90"/>
      <c r="F123" s="90"/>
      <c r="G123" s="90"/>
      <c r="H123" s="96"/>
      <c r="I123" s="99"/>
      <c r="J123" s="99"/>
      <c r="K123" s="96"/>
      <c r="L123" s="98"/>
      <c r="M123" s="96"/>
      <c r="N123" s="96"/>
    </row>
    <row r="124" spans="1:14" ht="12.75" hidden="1" outlineLevel="1">
      <c r="A124" s="90"/>
      <c r="B124" s="91" t="s">
        <v>155</v>
      </c>
      <c r="C124" s="90" t="s">
        <v>279</v>
      </c>
      <c r="D124" s="147">
        <v>2</v>
      </c>
      <c r="E124" s="90"/>
      <c r="F124" s="90"/>
      <c r="G124" s="90"/>
      <c r="H124" s="96"/>
      <c r="I124" s="99"/>
      <c r="J124" s="99"/>
      <c r="K124" s="96"/>
      <c r="L124" s="96"/>
      <c r="M124" s="96"/>
      <c r="N124" s="96"/>
    </row>
    <row r="125" spans="1:14" ht="14.25" collapsed="1">
      <c r="A125" s="90"/>
      <c r="B125" s="105"/>
      <c r="C125" s="90"/>
      <c r="D125" s="90"/>
      <c r="E125" s="90"/>
      <c r="F125" s="90"/>
      <c r="G125" s="90"/>
      <c r="H125" s="96"/>
      <c r="I125" s="99"/>
      <c r="J125" s="99"/>
      <c r="K125" s="96"/>
      <c r="L125" s="98"/>
      <c r="M125" s="96"/>
      <c r="N125" s="96"/>
    </row>
    <row r="126" spans="1:14" s="108" customFormat="1" ht="12.75">
      <c r="A126" s="107"/>
      <c r="B126" s="107" t="str">
        <f>CONCATENATE("Average = ",INT(AVERAGE($D95:$D124)))</f>
        <v>Average = 2</v>
      </c>
      <c r="C126" s="107"/>
      <c r="D126" s="107"/>
      <c r="E126" s="107"/>
      <c r="F126" s="107"/>
      <c r="G126" s="107"/>
      <c r="H126" s="133"/>
      <c r="I126" s="135"/>
      <c r="J126" s="135"/>
      <c r="K126" s="133"/>
      <c r="L126" s="138"/>
      <c r="M126" s="133"/>
      <c r="N126" s="133"/>
    </row>
    <row r="127" spans="1:14" s="108" customFormat="1" ht="12.75">
      <c r="A127" s="107"/>
      <c r="B127" s="107" t="str">
        <f>CONCATENATE("Low = ",MIN($D95:$D124))</f>
        <v>Low = 2</v>
      </c>
      <c r="C127" s="107"/>
      <c r="D127" s="107"/>
      <c r="E127" s="107"/>
      <c r="F127" s="107"/>
      <c r="G127" s="107"/>
      <c r="H127" s="107"/>
      <c r="I127" s="107"/>
      <c r="J127" s="107"/>
      <c r="K127" s="107"/>
      <c r="L127" s="107"/>
      <c r="M127" s="107"/>
      <c r="N127" s="107"/>
    </row>
    <row r="128" spans="1:14" s="108" customFormat="1" ht="12.75">
      <c r="A128" s="107"/>
      <c r="B128" s="107" t="str">
        <f>CONCATENATE("High = ",MAX($D95:$D124))</f>
        <v>High = 3</v>
      </c>
      <c r="C128" s="107"/>
      <c r="D128" s="107"/>
      <c r="E128" s="107"/>
      <c r="F128" s="107"/>
      <c r="G128" s="107"/>
      <c r="H128" s="107"/>
      <c r="I128" s="107"/>
      <c r="J128" s="107"/>
      <c r="K128" s="107"/>
      <c r="L128" s="107"/>
      <c r="M128" s="107"/>
      <c r="N128" s="107"/>
    </row>
    <row r="129" spans="1:14" ht="12.75">
      <c r="A129" s="90"/>
      <c r="B129" s="90"/>
      <c r="C129" s="90"/>
      <c r="D129" s="90"/>
      <c r="E129" s="90"/>
      <c r="F129" s="90"/>
      <c r="G129" s="90"/>
      <c r="H129" s="90"/>
      <c r="I129" s="90"/>
      <c r="J129" s="90"/>
      <c r="K129" s="90"/>
      <c r="L129" s="90"/>
      <c r="M129" s="90"/>
      <c r="N129" s="90"/>
    </row>
    <row r="130" spans="1:14" ht="12.75">
      <c r="A130" s="90"/>
      <c r="B130" s="90"/>
      <c r="C130" s="139" t="s">
        <v>1323</v>
      </c>
      <c r="D130" s="90"/>
      <c r="E130" s="90"/>
      <c r="F130" s="90"/>
      <c r="G130" s="90"/>
      <c r="H130" s="90"/>
      <c r="I130" s="90"/>
      <c r="J130" s="90"/>
      <c r="K130" s="90"/>
      <c r="L130" s="90"/>
      <c r="M130" s="90"/>
      <c r="N130" s="90"/>
    </row>
    <row r="131" spans="1:14" ht="12.75">
      <c r="A131" s="90"/>
      <c r="B131" s="90"/>
      <c r="C131" s="90" t="s">
        <v>107</v>
      </c>
      <c r="D131" s="90"/>
      <c r="E131" s="90"/>
      <c r="F131" s="90"/>
      <c r="G131" s="90"/>
      <c r="H131" s="90"/>
      <c r="I131" s="90"/>
      <c r="J131" s="90"/>
      <c r="K131" s="90"/>
      <c r="L131" s="90"/>
      <c r="M131" s="90"/>
      <c r="N131" s="90"/>
    </row>
    <row r="132" spans="1:14" ht="12.75">
      <c r="A132" s="90"/>
      <c r="B132" s="90"/>
      <c r="C132" s="90"/>
      <c r="D132" s="90"/>
      <c r="E132" s="90"/>
      <c r="F132" s="90"/>
      <c r="G132" s="90"/>
      <c r="H132" s="90"/>
      <c r="I132" s="90"/>
      <c r="J132" s="90"/>
      <c r="K132" s="90"/>
      <c r="L132" s="90"/>
      <c r="M132" s="90"/>
      <c r="N132" s="90"/>
    </row>
    <row r="133" spans="1:14" s="113" customFormat="1" ht="15.75">
      <c r="A133" s="111">
        <v>4</v>
      </c>
      <c r="B133" s="112" t="s">
        <v>298</v>
      </c>
      <c r="C133" s="112"/>
      <c r="D133" s="112"/>
      <c r="E133" s="112"/>
      <c r="F133" s="112"/>
      <c r="G133" s="112"/>
      <c r="H133" s="112"/>
      <c r="I133" s="112"/>
      <c r="J133" s="112"/>
      <c r="K133" s="112"/>
      <c r="L133" s="112"/>
      <c r="M133" s="112"/>
      <c r="N133" s="112"/>
    </row>
    <row r="134" spans="1:14" s="132" customFormat="1" ht="12.75" hidden="1" outlineLevel="1">
      <c r="A134" s="127"/>
      <c r="B134" s="126" t="s">
        <v>324</v>
      </c>
      <c r="C134" s="126" t="s">
        <v>189</v>
      </c>
      <c r="D134" s="142" t="s">
        <v>1472</v>
      </c>
      <c r="E134" s="126"/>
      <c r="F134" s="126"/>
      <c r="G134" s="126"/>
      <c r="H134" s="126"/>
      <c r="I134" s="126"/>
      <c r="J134" s="126"/>
      <c r="K134" s="126"/>
      <c r="L134" s="126"/>
      <c r="M134" s="126"/>
      <c r="N134" s="126"/>
    </row>
    <row r="135" spans="1:14" ht="12.75" hidden="1" outlineLevel="1">
      <c r="A135" s="90"/>
      <c r="B135" s="91" t="s">
        <v>332</v>
      </c>
      <c r="C135" s="90" t="s">
        <v>554</v>
      </c>
      <c r="D135" s="147" t="s">
        <v>190</v>
      </c>
      <c r="E135" s="90"/>
      <c r="F135" s="90"/>
      <c r="G135" s="90"/>
      <c r="H135" s="90"/>
      <c r="I135" s="90"/>
      <c r="J135" s="90"/>
      <c r="K135" s="90"/>
      <c r="L135" s="90"/>
      <c r="M135" s="90"/>
      <c r="N135" s="90"/>
    </row>
    <row r="136" spans="1:14" ht="12.75" hidden="1" outlineLevel="1">
      <c r="A136" s="90"/>
      <c r="B136" s="91" t="s">
        <v>146</v>
      </c>
      <c r="C136" s="90" t="s">
        <v>550</v>
      </c>
      <c r="D136" s="147" t="s">
        <v>190</v>
      </c>
      <c r="E136" s="90"/>
      <c r="F136" s="90"/>
      <c r="G136" s="90"/>
      <c r="H136" s="90"/>
      <c r="I136" s="90"/>
      <c r="J136" s="90"/>
      <c r="K136" s="90"/>
      <c r="L136" s="90"/>
      <c r="M136" s="90"/>
      <c r="N136" s="90"/>
    </row>
    <row r="137" spans="1:14" ht="12.75" hidden="1" outlineLevel="1">
      <c r="A137" s="90"/>
      <c r="B137" s="91" t="s">
        <v>142</v>
      </c>
      <c r="C137" s="90" t="s">
        <v>343</v>
      </c>
      <c r="D137" s="147" t="s">
        <v>190</v>
      </c>
      <c r="E137" s="90"/>
      <c r="F137" s="90"/>
      <c r="G137" s="90"/>
      <c r="H137" s="90"/>
      <c r="I137" s="90"/>
      <c r="J137" s="90"/>
      <c r="K137" s="90"/>
      <c r="L137" s="90"/>
      <c r="M137" s="90"/>
      <c r="N137" s="90"/>
    </row>
    <row r="138" spans="1:14" ht="12.75" hidden="1" outlineLevel="1">
      <c r="A138" s="90"/>
      <c r="B138" s="91" t="s">
        <v>143</v>
      </c>
      <c r="C138" s="90" t="s">
        <v>287</v>
      </c>
      <c r="D138" s="147" t="s">
        <v>190</v>
      </c>
      <c r="E138" s="90"/>
      <c r="F138" s="90"/>
      <c r="G138" s="90"/>
      <c r="H138" s="90"/>
      <c r="I138" s="90"/>
      <c r="J138" s="90"/>
      <c r="K138" s="90"/>
      <c r="L138" s="90"/>
      <c r="M138" s="90"/>
      <c r="N138" s="90"/>
    </row>
    <row r="139" spans="1:14" ht="12.75" hidden="1" outlineLevel="1">
      <c r="A139" s="90"/>
      <c r="B139" s="91" t="s">
        <v>144</v>
      </c>
      <c r="C139" s="90" t="s">
        <v>438</v>
      </c>
      <c r="D139" s="147" t="s">
        <v>190</v>
      </c>
      <c r="E139" s="90"/>
      <c r="F139" s="90"/>
      <c r="G139" s="90"/>
      <c r="H139" s="90"/>
      <c r="I139" s="90"/>
      <c r="J139" s="90"/>
      <c r="K139" s="90"/>
      <c r="L139" s="90"/>
      <c r="M139" s="90"/>
      <c r="N139" s="90"/>
    </row>
    <row r="140" spans="1:14" ht="12.75" hidden="1" outlineLevel="1">
      <c r="A140" s="90"/>
      <c r="B140" s="91" t="s">
        <v>153</v>
      </c>
      <c r="C140" s="90" t="s">
        <v>444</v>
      </c>
      <c r="D140" s="147" t="s">
        <v>190</v>
      </c>
      <c r="E140" s="90"/>
      <c r="F140" s="90"/>
      <c r="G140" s="90"/>
      <c r="H140" s="90"/>
      <c r="I140" s="90"/>
      <c r="J140" s="90"/>
      <c r="K140" s="90"/>
      <c r="L140" s="90"/>
      <c r="M140" s="90"/>
      <c r="N140" s="90"/>
    </row>
    <row r="141" spans="1:14" ht="12.75" hidden="1" outlineLevel="1">
      <c r="A141" s="90"/>
      <c r="B141" s="91" t="s">
        <v>153</v>
      </c>
      <c r="C141" s="90" t="s">
        <v>446</v>
      </c>
      <c r="D141" s="147" t="s">
        <v>190</v>
      </c>
      <c r="E141" s="90"/>
      <c r="F141" s="90"/>
      <c r="G141" s="90"/>
      <c r="H141" s="90"/>
      <c r="I141" s="90"/>
      <c r="J141" s="90"/>
      <c r="K141" s="90"/>
      <c r="L141" s="90"/>
      <c r="M141" s="90"/>
      <c r="N141" s="90"/>
    </row>
    <row r="142" spans="1:14" ht="12.75" hidden="1" outlineLevel="1">
      <c r="A142" s="90"/>
      <c r="B142" s="91" t="s">
        <v>148</v>
      </c>
      <c r="C142" s="90" t="s">
        <v>552</v>
      </c>
      <c r="D142" s="147" t="s">
        <v>190</v>
      </c>
      <c r="E142" s="90"/>
      <c r="F142" s="90"/>
      <c r="G142" s="90"/>
      <c r="H142" s="90"/>
      <c r="I142" s="90"/>
      <c r="J142" s="90"/>
      <c r="K142" s="90"/>
      <c r="L142" s="90"/>
      <c r="M142" s="90"/>
      <c r="N142" s="90"/>
    </row>
    <row r="143" spans="1:14" ht="12.75" hidden="1" outlineLevel="1">
      <c r="A143" s="90"/>
      <c r="B143" s="91" t="s">
        <v>336</v>
      </c>
      <c r="C143" s="90" t="s">
        <v>281</v>
      </c>
      <c r="D143" s="147" t="s">
        <v>190</v>
      </c>
      <c r="E143" s="90"/>
      <c r="F143" s="90"/>
      <c r="G143" s="90"/>
      <c r="H143" s="90"/>
      <c r="I143" s="90"/>
      <c r="J143" s="90"/>
      <c r="K143" s="90"/>
      <c r="L143" s="90"/>
      <c r="M143" s="90"/>
      <c r="N143" s="90"/>
    </row>
    <row r="144" spans="1:14" ht="12.75" hidden="1" outlineLevel="1">
      <c r="A144" s="90"/>
      <c r="B144" s="91" t="s">
        <v>334</v>
      </c>
      <c r="C144" s="90" t="s">
        <v>350</v>
      </c>
      <c r="D144" s="147" t="s">
        <v>190</v>
      </c>
      <c r="E144" s="90"/>
      <c r="F144" s="90"/>
      <c r="G144" s="90"/>
      <c r="H144" s="90"/>
      <c r="I144" s="90"/>
      <c r="J144" s="90"/>
      <c r="K144" s="90"/>
      <c r="L144" s="90"/>
      <c r="M144" s="90"/>
      <c r="N144" s="90"/>
    </row>
    <row r="145" spans="1:14" ht="12.75" hidden="1" outlineLevel="1">
      <c r="A145" s="90"/>
      <c r="B145" s="91" t="s">
        <v>335</v>
      </c>
      <c r="C145" s="90" t="s">
        <v>283</v>
      </c>
      <c r="D145" s="147" t="s">
        <v>190</v>
      </c>
      <c r="E145" s="90"/>
      <c r="F145" s="90"/>
      <c r="G145" s="90"/>
      <c r="H145" s="90"/>
      <c r="I145" s="90"/>
      <c r="J145" s="90"/>
      <c r="K145" s="90"/>
      <c r="L145" s="90"/>
      <c r="M145" s="90"/>
      <c r="N145" s="90"/>
    </row>
    <row r="146" spans="1:14" ht="12.75" hidden="1" outlineLevel="1">
      <c r="A146" s="90"/>
      <c r="B146" s="91" t="s">
        <v>149</v>
      </c>
      <c r="C146" s="90" t="s">
        <v>277</v>
      </c>
      <c r="D146" s="147" t="s">
        <v>190</v>
      </c>
      <c r="E146" s="90"/>
      <c r="F146" s="90"/>
      <c r="G146" s="90"/>
      <c r="H146" s="90"/>
      <c r="I146" s="90"/>
      <c r="J146" s="90"/>
      <c r="K146" s="90"/>
      <c r="L146" s="90"/>
      <c r="M146" s="90"/>
      <c r="N146" s="90"/>
    </row>
    <row r="147" spans="1:14" ht="12.75" hidden="1" outlineLevel="1">
      <c r="A147" s="90"/>
      <c r="B147" s="91" t="s">
        <v>150</v>
      </c>
      <c r="C147" s="90" t="s">
        <v>278</v>
      </c>
      <c r="D147" s="147" t="s">
        <v>190</v>
      </c>
      <c r="E147" s="90"/>
      <c r="F147" s="90"/>
      <c r="G147" s="90"/>
      <c r="H147" s="90"/>
      <c r="I147" s="90"/>
      <c r="J147" s="90"/>
      <c r="K147" s="90"/>
      <c r="L147" s="90"/>
      <c r="M147" s="90"/>
      <c r="N147" s="90"/>
    </row>
    <row r="148" spans="1:14" ht="12.75" hidden="1" outlineLevel="1">
      <c r="A148" s="90"/>
      <c r="B148" s="91" t="s">
        <v>155</v>
      </c>
      <c r="C148" s="90" t="s">
        <v>351</v>
      </c>
      <c r="D148" s="147" t="s">
        <v>190</v>
      </c>
      <c r="E148" s="90"/>
      <c r="F148" s="90"/>
      <c r="G148" s="90"/>
      <c r="H148" s="90"/>
      <c r="I148" s="90"/>
      <c r="J148" s="90"/>
      <c r="K148" s="90"/>
      <c r="L148" s="90"/>
      <c r="M148" s="90"/>
      <c r="N148" s="90"/>
    </row>
    <row r="149" spans="1:14" ht="12.75" hidden="1" outlineLevel="1">
      <c r="A149" s="90"/>
      <c r="B149" s="91" t="s">
        <v>155</v>
      </c>
      <c r="C149" s="90" t="s">
        <v>279</v>
      </c>
      <c r="D149" s="147" t="s">
        <v>190</v>
      </c>
      <c r="E149" s="90"/>
      <c r="F149" s="90"/>
      <c r="G149" s="90"/>
      <c r="H149" s="96"/>
      <c r="I149" s="97"/>
      <c r="J149" s="97"/>
      <c r="K149" s="97"/>
      <c r="L149" s="98"/>
      <c r="M149" s="96"/>
      <c r="N149" s="97"/>
    </row>
    <row r="150" spans="1:14" ht="12.75" hidden="1" outlineLevel="1">
      <c r="A150" s="90"/>
      <c r="B150" s="91" t="s">
        <v>140</v>
      </c>
      <c r="C150" s="90" t="s">
        <v>341</v>
      </c>
      <c r="D150" s="147" t="s">
        <v>183</v>
      </c>
      <c r="E150" s="90"/>
      <c r="F150" s="90"/>
      <c r="G150" s="90"/>
      <c r="H150" s="96"/>
      <c r="I150" s="99"/>
      <c r="J150" s="99"/>
      <c r="K150" s="96"/>
      <c r="L150" s="98"/>
      <c r="M150" s="96"/>
      <c r="N150" s="96"/>
    </row>
    <row r="151" spans="1:14" ht="12.75" hidden="1" outlineLevel="1">
      <c r="A151" s="90"/>
      <c r="B151" s="91" t="s">
        <v>332</v>
      </c>
      <c r="C151" s="90" t="s">
        <v>286</v>
      </c>
      <c r="D151" s="147" t="s">
        <v>183</v>
      </c>
      <c r="E151" s="90"/>
      <c r="F151" s="90"/>
      <c r="G151" s="90"/>
      <c r="H151" s="96"/>
      <c r="I151" s="99"/>
      <c r="J151" s="99"/>
      <c r="K151" s="96"/>
      <c r="L151" s="98"/>
      <c r="M151" s="96"/>
      <c r="N151" s="96"/>
    </row>
    <row r="152" spans="1:14" ht="12.75" hidden="1" outlineLevel="1">
      <c r="A152" s="90"/>
      <c r="B152" s="91" t="s">
        <v>141</v>
      </c>
      <c r="C152" s="90" t="s">
        <v>445</v>
      </c>
      <c r="D152" s="147" t="s">
        <v>183</v>
      </c>
      <c r="E152" s="90"/>
      <c r="F152" s="90"/>
      <c r="G152" s="90"/>
      <c r="H152" s="96"/>
      <c r="I152" s="99"/>
      <c r="J152" s="99"/>
      <c r="K152" s="96"/>
      <c r="L152" s="96"/>
      <c r="M152" s="96"/>
      <c r="N152" s="96"/>
    </row>
    <row r="153" spans="1:14" ht="12.75" hidden="1" outlineLevel="1">
      <c r="A153" s="90"/>
      <c r="B153" s="91" t="s">
        <v>154</v>
      </c>
      <c r="C153" s="90" t="s">
        <v>352</v>
      </c>
      <c r="D153" s="147" t="s">
        <v>183</v>
      </c>
      <c r="E153" s="90"/>
      <c r="F153" s="90"/>
      <c r="G153" s="90"/>
      <c r="H153" s="96"/>
      <c r="I153" s="99"/>
      <c r="J153" s="99"/>
      <c r="K153" s="96"/>
      <c r="L153" s="98"/>
      <c r="M153" s="96"/>
      <c r="N153" s="96"/>
    </row>
    <row r="154" spans="1:14" ht="12.75" hidden="1" outlineLevel="1">
      <c r="A154" s="90"/>
      <c r="B154" s="91" t="s">
        <v>152</v>
      </c>
      <c r="C154" s="90" t="s">
        <v>291</v>
      </c>
      <c r="D154" s="147" t="s">
        <v>183</v>
      </c>
      <c r="E154" s="90"/>
      <c r="F154" s="90"/>
      <c r="G154" s="90"/>
      <c r="H154" s="96"/>
      <c r="I154" s="99"/>
      <c r="J154" s="99"/>
      <c r="K154" s="96"/>
      <c r="L154" s="98"/>
      <c r="M154" s="96"/>
      <c r="N154" s="96"/>
    </row>
    <row r="155" spans="1:14" ht="12.75" hidden="1" outlineLevel="1">
      <c r="A155" s="90"/>
      <c r="B155" s="91" t="s">
        <v>147</v>
      </c>
      <c r="C155" s="90" t="s">
        <v>353</v>
      </c>
      <c r="D155" s="147" t="s">
        <v>183</v>
      </c>
      <c r="E155" s="90"/>
      <c r="F155" s="90"/>
      <c r="G155" s="90"/>
      <c r="H155" s="90"/>
      <c r="I155" s="90"/>
      <c r="J155" s="90"/>
      <c r="K155" s="90"/>
      <c r="L155" s="90"/>
      <c r="M155" s="90"/>
      <c r="N155" s="90"/>
    </row>
    <row r="156" spans="1:14" ht="12.75" hidden="1" outlineLevel="1">
      <c r="A156" s="90"/>
      <c r="B156" s="91" t="s">
        <v>151</v>
      </c>
      <c r="C156" s="90" t="s">
        <v>282</v>
      </c>
      <c r="D156" s="147" t="s">
        <v>183</v>
      </c>
      <c r="E156" s="90"/>
      <c r="F156" s="90"/>
      <c r="G156" s="90"/>
      <c r="H156" s="90"/>
      <c r="I156" s="90"/>
      <c r="J156" s="90"/>
      <c r="K156" s="90"/>
      <c r="L156" s="90"/>
      <c r="M156" s="90"/>
      <c r="N156" s="90"/>
    </row>
    <row r="157" spans="1:14" ht="12.75" hidden="1" outlineLevel="1">
      <c r="A157" s="90"/>
      <c r="B157" s="91" t="s">
        <v>332</v>
      </c>
      <c r="C157" s="90" t="s">
        <v>436</v>
      </c>
      <c r="D157" s="147" t="s">
        <v>292</v>
      </c>
      <c r="E157" s="90"/>
      <c r="F157" s="90"/>
      <c r="G157" s="90"/>
      <c r="H157" s="90"/>
      <c r="I157" s="90"/>
      <c r="J157" s="90"/>
      <c r="K157" s="90"/>
      <c r="L157" s="90"/>
      <c r="M157" s="90"/>
      <c r="N157" s="90"/>
    </row>
    <row r="158" spans="1:14" ht="12.75" hidden="1" outlineLevel="1">
      <c r="A158" s="90"/>
      <c r="B158" s="91" t="s">
        <v>146</v>
      </c>
      <c r="C158" s="90" t="s">
        <v>349</v>
      </c>
      <c r="D158" s="147" t="s">
        <v>292</v>
      </c>
      <c r="E158" s="90"/>
      <c r="F158" s="90"/>
      <c r="G158" s="90"/>
      <c r="H158" s="90"/>
      <c r="I158" s="90"/>
      <c r="J158" s="90"/>
      <c r="K158" s="90"/>
      <c r="L158" s="90"/>
      <c r="M158" s="90"/>
      <c r="N158" s="90"/>
    </row>
    <row r="159" spans="1:14" ht="12.75" hidden="1" outlineLevel="1">
      <c r="A159" s="90"/>
      <c r="B159" s="91" t="s">
        <v>143</v>
      </c>
      <c r="C159" s="90" t="s">
        <v>437</v>
      </c>
      <c r="D159" s="147" t="s">
        <v>292</v>
      </c>
      <c r="E159" s="90"/>
      <c r="F159" s="90"/>
      <c r="G159" s="90"/>
      <c r="H159" s="90"/>
      <c r="I159" s="90"/>
      <c r="J159" s="90"/>
      <c r="K159" s="90"/>
      <c r="L159" s="90"/>
      <c r="M159" s="90"/>
      <c r="N159" s="90"/>
    </row>
    <row r="160" spans="1:14" ht="12.75" hidden="1" outlineLevel="1">
      <c r="A160" s="90"/>
      <c r="B160" s="91" t="s">
        <v>139</v>
      </c>
      <c r="C160" s="90" t="s">
        <v>551</v>
      </c>
      <c r="D160" s="147" t="s">
        <v>292</v>
      </c>
      <c r="E160" s="90"/>
      <c r="F160" s="90"/>
      <c r="G160" s="90"/>
      <c r="H160" s="90"/>
      <c r="I160" s="90"/>
      <c r="J160" s="90"/>
      <c r="K160" s="90"/>
      <c r="L160" s="90"/>
      <c r="M160" s="90"/>
      <c r="N160" s="90"/>
    </row>
    <row r="161" spans="1:14" ht="12.75" hidden="1" outlineLevel="1">
      <c r="A161" s="90"/>
      <c r="B161" s="91" t="s">
        <v>154</v>
      </c>
      <c r="C161" s="90" t="s">
        <v>342</v>
      </c>
      <c r="D161" s="147" t="s">
        <v>292</v>
      </c>
      <c r="E161" s="90"/>
      <c r="F161" s="90"/>
      <c r="G161" s="90"/>
      <c r="H161" s="90"/>
      <c r="I161" s="90"/>
      <c r="J161" s="90"/>
      <c r="K161" s="90"/>
      <c r="L161" s="90"/>
      <c r="M161" s="90"/>
      <c r="N161" s="90"/>
    </row>
    <row r="162" spans="1:14" ht="12.75" hidden="1" outlineLevel="1">
      <c r="A162" s="90"/>
      <c r="B162" s="91" t="s">
        <v>145</v>
      </c>
      <c r="C162" s="90" t="s">
        <v>439</v>
      </c>
      <c r="D162" s="147" t="s">
        <v>292</v>
      </c>
      <c r="E162" s="90"/>
      <c r="F162" s="90"/>
      <c r="G162" s="90"/>
      <c r="H162" s="90"/>
      <c r="I162" s="90"/>
      <c r="J162" s="90"/>
      <c r="K162" s="90"/>
      <c r="L162" s="90"/>
      <c r="M162" s="90"/>
      <c r="N162" s="90"/>
    </row>
    <row r="163" spans="1:14" ht="12.75" hidden="1" outlineLevel="1">
      <c r="A163" s="90"/>
      <c r="B163" s="91" t="s">
        <v>337</v>
      </c>
      <c r="C163" s="90" t="s">
        <v>553</v>
      </c>
      <c r="D163" s="147" t="s">
        <v>292</v>
      </c>
      <c r="E163" s="90"/>
      <c r="F163" s="90"/>
      <c r="G163" s="90"/>
      <c r="H163" s="90"/>
      <c r="I163" s="90"/>
      <c r="J163" s="90"/>
      <c r="K163" s="90"/>
      <c r="L163" s="90"/>
      <c r="M163" s="90"/>
      <c r="N163" s="90"/>
    </row>
    <row r="164" spans="1:14" ht="12.75" hidden="1" outlineLevel="1">
      <c r="A164" s="90"/>
      <c r="B164" s="91" t="s">
        <v>156</v>
      </c>
      <c r="C164" s="90" t="s">
        <v>288</v>
      </c>
      <c r="D164" s="147" t="s">
        <v>292</v>
      </c>
      <c r="E164" s="90"/>
      <c r="F164" s="90"/>
      <c r="G164" s="90"/>
      <c r="H164" s="90"/>
      <c r="I164" s="90"/>
      <c r="J164" s="90"/>
      <c r="K164" s="90"/>
      <c r="L164" s="90"/>
      <c r="M164" s="90"/>
      <c r="N164" s="90"/>
    </row>
    <row r="165" spans="1:14" ht="12.75" collapsed="1">
      <c r="A165" s="90"/>
      <c r="B165" s="91"/>
      <c r="C165" s="90"/>
      <c r="D165" s="90"/>
      <c r="E165" s="90"/>
      <c r="F165" s="90"/>
      <c r="G165" s="90"/>
      <c r="H165" s="90"/>
      <c r="I165" s="90"/>
      <c r="J165" s="90"/>
      <c r="K165" s="90"/>
      <c r="L165" s="90"/>
      <c r="M165" s="90"/>
      <c r="N165" s="90"/>
    </row>
    <row r="166" spans="1:14" s="108" customFormat="1" ht="12.75">
      <c r="A166" s="107"/>
      <c r="B166" s="107" t="str">
        <f>CONCATENATE("No term limits = ",COUNTIF($D135:$D164,"No term limits"),TEXT((COUNTIF($D135:$D164,"No term limits")/ROWS($D135:$D164)),"   (#%)"))</f>
        <v>No term limits = 15   (50%)</v>
      </c>
      <c r="C166" s="107"/>
      <c r="D166" s="107"/>
      <c r="E166" s="107"/>
      <c r="F166" s="107"/>
      <c r="G166" s="107"/>
      <c r="H166" s="107"/>
      <c r="I166" s="107"/>
      <c r="J166" s="107"/>
      <c r="K166" s="107"/>
      <c r="L166" s="107"/>
      <c r="M166" s="107"/>
      <c r="N166" s="107"/>
    </row>
    <row r="167" spans="1:14" s="108" customFormat="1" ht="12.75">
      <c r="A167" s="107"/>
      <c r="B167" s="107" t="str">
        <f>CONCATENATE($D151," = ",COUNTIF($D135:$D164,$D151),TEXT((COUNTIF($D135:$D164,"2 terms")/ROWS($D135:$D164)),"   (#%)"))</f>
        <v>2 terms = 7   (23%)</v>
      </c>
      <c r="C167" s="107"/>
      <c r="D167" s="107"/>
      <c r="E167" s="107"/>
      <c r="F167" s="107"/>
      <c r="G167" s="107"/>
      <c r="H167" s="107"/>
      <c r="I167" s="107"/>
      <c r="J167" s="107"/>
      <c r="K167" s="107"/>
      <c r="L167" s="107"/>
      <c r="M167" s="107"/>
      <c r="N167" s="107"/>
    </row>
    <row r="168" spans="1:14" s="108" customFormat="1" ht="12.75">
      <c r="A168" s="107"/>
      <c r="B168" s="107" t="str">
        <f>CONCATENATE($D164," = ",COUNTIF($D135:$D164,$D164),TEXT((COUNTIF($D135:$D164,"3 terms")/ROWS($D135:$D164)),"   (#%)"))</f>
        <v>3 terms = 8   (27%)</v>
      </c>
      <c r="C168" s="107"/>
      <c r="D168" s="107"/>
      <c r="E168" s="107"/>
      <c r="F168" s="107"/>
      <c r="G168" s="107"/>
      <c r="H168" s="107"/>
      <c r="I168" s="107"/>
      <c r="J168" s="107"/>
      <c r="K168" s="107"/>
      <c r="L168" s="107"/>
      <c r="M168" s="107"/>
      <c r="N168" s="107"/>
    </row>
    <row r="169" spans="1:14" ht="12.75">
      <c r="A169" s="90"/>
      <c r="B169" s="90"/>
      <c r="C169" s="90"/>
      <c r="D169" s="90"/>
      <c r="E169" s="90"/>
      <c r="F169" s="90"/>
      <c r="G169" s="90"/>
      <c r="H169" s="90"/>
      <c r="I169" s="90"/>
      <c r="J169" s="90"/>
      <c r="K169" s="90"/>
      <c r="L169" s="90"/>
      <c r="M169" s="90"/>
      <c r="N169" s="90"/>
    </row>
    <row r="170" spans="1:14" ht="12.75">
      <c r="A170" s="90"/>
      <c r="B170" s="90"/>
      <c r="C170" s="139" t="s">
        <v>1323</v>
      </c>
      <c r="D170" s="90"/>
      <c r="E170" s="90"/>
      <c r="F170" s="90"/>
      <c r="G170" s="90"/>
      <c r="H170" s="90"/>
      <c r="I170" s="90"/>
      <c r="J170" s="90"/>
      <c r="K170" s="90"/>
      <c r="L170" s="90"/>
      <c r="M170" s="90"/>
      <c r="N170" s="90"/>
    </row>
    <row r="171" spans="1:14" ht="12.75">
      <c r="A171" s="90"/>
      <c r="B171" s="90"/>
      <c r="C171" s="90" t="s">
        <v>25</v>
      </c>
      <c r="D171" s="90"/>
      <c r="E171" s="90"/>
      <c r="F171" s="90"/>
      <c r="G171" s="90"/>
      <c r="H171" s="90"/>
      <c r="I171" s="90"/>
      <c r="J171" s="90"/>
      <c r="K171" s="90"/>
      <c r="L171" s="90"/>
      <c r="M171" s="90"/>
      <c r="N171" s="90"/>
    </row>
    <row r="172" spans="1:14" ht="12.75">
      <c r="A172" s="90"/>
      <c r="B172" s="90"/>
      <c r="C172" s="90" t="s">
        <v>110</v>
      </c>
      <c r="D172" s="90"/>
      <c r="E172" s="90"/>
      <c r="F172" s="90"/>
      <c r="G172" s="90"/>
      <c r="H172" s="96"/>
      <c r="I172" s="97"/>
      <c r="J172" s="97"/>
      <c r="K172" s="97"/>
      <c r="L172" s="98"/>
      <c r="M172" s="96"/>
      <c r="N172" s="97"/>
    </row>
    <row r="173" spans="1:14" ht="12.75">
      <c r="A173" s="90"/>
      <c r="B173" s="90"/>
      <c r="C173" s="90" t="s">
        <v>26</v>
      </c>
      <c r="D173" s="90"/>
      <c r="E173" s="90"/>
      <c r="F173" s="90"/>
      <c r="G173" s="90"/>
      <c r="H173" s="96"/>
      <c r="I173" s="99"/>
      <c r="J173" s="99"/>
      <c r="K173" s="96"/>
      <c r="L173" s="98"/>
      <c r="M173" s="96"/>
      <c r="N173" s="96"/>
    </row>
    <row r="174" spans="1:14" ht="12.75" hidden="1" outlineLevel="1">
      <c r="A174" s="90"/>
      <c r="B174" s="90"/>
      <c r="C174" s="90"/>
      <c r="D174" s="90"/>
      <c r="E174" s="90"/>
      <c r="F174" s="90"/>
      <c r="G174" s="90"/>
      <c r="H174" s="96"/>
      <c r="I174" s="99"/>
      <c r="J174" s="99"/>
      <c r="K174" s="96"/>
      <c r="L174" s="98"/>
      <c r="M174" s="96"/>
      <c r="N174" s="96"/>
    </row>
    <row r="175" spans="1:14" ht="12.75" hidden="1" outlineLevel="1">
      <c r="A175" s="90"/>
      <c r="B175" s="90"/>
      <c r="C175" s="106">
        <v>2011</v>
      </c>
      <c r="D175" s="106">
        <v>2014</v>
      </c>
      <c r="E175" s="278" t="s">
        <v>1322</v>
      </c>
      <c r="F175" s="278"/>
      <c r="G175" s="90"/>
      <c r="H175" s="96"/>
      <c r="I175" s="99" t="s">
        <v>1508</v>
      </c>
      <c r="J175" s="99" t="s">
        <v>1511</v>
      </c>
      <c r="K175" s="96" t="s">
        <v>1571</v>
      </c>
      <c r="L175" s="96"/>
      <c r="M175" s="96"/>
      <c r="N175" s="96"/>
    </row>
    <row r="176" spans="1:14" ht="12.75" hidden="1" outlineLevel="1">
      <c r="A176" s="90"/>
      <c r="B176" s="90"/>
      <c r="C176" s="147" t="s">
        <v>1566</v>
      </c>
      <c r="D176" s="147" t="s">
        <v>1579</v>
      </c>
      <c r="E176" s="189">
        <f>(J176-I176)</f>
        <v>-0.05555555555555558</v>
      </c>
      <c r="F176" s="147"/>
      <c r="G176" s="90"/>
      <c r="H176" s="96" t="s">
        <v>190</v>
      </c>
      <c r="I176" s="99">
        <v>0.5555555555555556</v>
      </c>
      <c r="J176" s="99">
        <f>15/$K$176</f>
        <v>0.5</v>
      </c>
      <c r="K176" s="96">
        <v>30</v>
      </c>
      <c r="L176" s="98"/>
      <c r="M176" s="96"/>
      <c r="N176" s="96"/>
    </row>
    <row r="177" spans="1:14" ht="12.75" hidden="1" outlineLevel="1">
      <c r="A177" s="90"/>
      <c r="B177" s="90"/>
      <c r="C177" s="147" t="s">
        <v>1475</v>
      </c>
      <c r="D177" s="147" t="s">
        <v>1580</v>
      </c>
      <c r="E177" s="189">
        <f>(J177-I177)</f>
        <v>0.011111111111111127</v>
      </c>
      <c r="F177" s="147"/>
      <c r="G177" s="90"/>
      <c r="H177" s="96" t="s">
        <v>183</v>
      </c>
      <c r="I177" s="97">
        <v>0.2222222222222222</v>
      </c>
      <c r="J177" s="97">
        <f>7/$K$176</f>
        <v>0.23333333333333334</v>
      </c>
      <c r="K177" s="97"/>
      <c r="L177" s="98"/>
      <c r="M177" s="96"/>
      <c r="N177" s="96"/>
    </row>
    <row r="178" spans="1:14" ht="12.75" hidden="1" outlineLevel="1">
      <c r="A178" s="90"/>
      <c r="B178" s="90"/>
      <c r="C178" s="147" t="s">
        <v>1568</v>
      </c>
      <c r="D178" s="147" t="s">
        <v>1581</v>
      </c>
      <c r="E178" s="189">
        <f>(J178-I178)</f>
        <v>0.04444444444444445</v>
      </c>
      <c r="F178" s="147"/>
      <c r="G178" s="90"/>
      <c r="H178" s="96" t="s">
        <v>292</v>
      </c>
      <c r="I178" s="99">
        <v>0.2222222222222222</v>
      </c>
      <c r="J178" s="99">
        <f>8/$K$176</f>
        <v>0.26666666666666666</v>
      </c>
      <c r="K178" s="96"/>
      <c r="L178" s="90"/>
      <c r="M178" s="90"/>
      <c r="N178" s="90"/>
    </row>
    <row r="179" spans="1:14" ht="12.75" collapsed="1">
      <c r="A179" s="90"/>
      <c r="B179" s="90"/>
      <c r="C179" s="90"/>
      <c r="D179" s="90"/>
      <c r="E179" s="90"/>
      <c r="F179" s="90"/>
      <c r="G179" s="90"/>
      <c r="H179" s="90"/>
      <c r="I179" s="90"/>
      <c r="J179" s="90"/>
      <c r="K179" s="90"/>
      <c r="L179" s="90"/>
      <c r="M179" s="90"/>
      <c r="N179" s="90"/>
    </row>
    <row r="180" spans="1:14" s="120" customFormat="1" ht="15.75">
      <c r="A180" s="117">
        <v>5</v>
      </c>
      <c r="B180" s="118" t="s">
        <v>300</v>
      </c>
      <c r="C180" s="119"/>
      <c r="D180" s="119"/>
      <c r="E180" s="119"/>
      <c r="F180" s="119"/>
      <c r="G180" s="119"/>
      <c r="H180" s="119"/>
      <c r="I180" s="119"/>
      <c r="J180" s="119"/>
      <c r="K180" s="119"/>
      <c r="L180" s="119"/>
      <c r="M180" s="119"/>
      <c r="N180" s="119"/>
    </row>
    <row r="181" spans="1:14" s="132" customFormat="1" ht="12.75" hidden="1" outlineLevel="1">
      <c r="A181" s="127"/>
      <c r="B181" s="126" t="s">
        <v>324</v>
      </c>
      <c r="C181" s="126" t="s">
        <v>189</v>
      </c>
      <c r="D181" s="142" t="s">
        <v>1473</v>
      </c>
      <c r="E181" s="126"/>
      <c r="F181" s="126"/>
      <c r="G181" s="126"/>
      <c r="H181" s="126"/>
      <c r="I181" s="126"/>
      <c r="J181" s="126"/>
      <c r="K181" s="126"/>
      <c r="L181" s="126"/>
      <c r="M181" s="126"/>
      <c r="N181" s="126"/>
    </row>
    <row r="182" spans="1:14" ht="12.75" hidden="1" outlineLevel="1">
      <c r="A182" s="90"/>
      <c r="B182" s="91" t="s">
        <v>140</v>
      </c>
      <c r="C182" s="90" t="s">
        <v>341</v>
      </c>
      <c r="D182" s="90" t="s">
        <v>371</v>
      </c>
      <c r="E182" s="90"/>
      <c r="F182" s="90"/>
      <c r="G182" s="90"/>
      <c r="H182" s="90"/>
      <c r="I182" s="90"/>
      <c r="J182" s="90"/>
      <c r="K182" s="90"/>
      <c r="L182" s="90"/>
      <c r="M182" s="90"/>
      <c r="N182" s="90"/>
    </row>
    <row r="183" spans="1:14" ht="12.75" hidden="1" outlineLevel="1">
      <c r="A183" s="90"/>
      <c r="B183" s="91" t="s">
        <v>332</v>
      </c>
      <c r="C183" s="90" t="s">
        <v>554</v>
      </c>
      <c r="D183" s="90" t="s">
        <v>293</v>
      </c>
      <c r="E183" s="90"/>
      <c r="F183" s="90"/>
      <c r="G183" s="90"/>
      <c r="H183" s="90"/>
      <c r="I183" s="90"/>
      <c r="J183" s="90"/>
      <c r="K183" s="90"/>
      <c r="L183" s="90"/>
      <c r="M183" s="90"/>
      <c r="N183" s="90"/>
    </row>
    <row r="184" spans="1:14" ht="12.75" hidden="1" outlineLevel="1">
      <c r="A184" s="90"/>
      <c r="B184" s="91" t="s">
        <v>332</v>
      </c>
      <c r="C184" s="90" t="s">
        <v>436</v>
      </c>
      <c r="D184" s="90" t="s">
        <v>294</v>
      </c>
      <c r="E184" s="90"/>
      <c r="F184" s="90"/>
      <c r="G184" s="90"/>
      <c r="H184" s="90"/>
      <c r="I184" s="90"/>
      <c r="J184" s="90"/>
      <c r="K184" s="90"/>
      <c r="L184" s="90"/>
      <c r="M184" s="90"/>
      <c r="N184" s="90"/>
    </row>
    <row r="185" spans="1:14" ht="12.75" hidden="1" outlineLevel="1">
      <c r="A185" s="90"/>
      <c r="B185" s="91" t="s">
        <v>332</v>
      </c>
      <c r="C185" s="90" t="s">
        <v>286</v>
      </c>
      <c r="D185" s="90" t="s">
        <v>295</v>
      </c>
      <c r="E185" s="90"/>
      <c r="F185" s="90"/>
      <c r="G185" s="90"/>
      <c r="H185" s="90"/>
      <c r="I185" s="90"/>
      <c r="J185" s="90"/>
      <c r="K185" s="90"/>
      <c r="L185" s="90"/>
      <c r="M185" s="90"/>
      <c r="N185" s="90"/>
    </row>
    <row r="186" spans="1:14" ht="12.75" hidden="1" outlineLevel="1">
      <c r="A186" s="90"/>
      <c r="B186" s="91" t="s">
        <v>141</v>
      </c>
      <c r="C186" s="90" t="s">
        <v>445</v>
      </c>
      <c r="D186" s="90" t="s">
        <v>164</v>
      </c>
      <c r="E186" s="90"/>
      <c r="F186" s="90"/>
      <c r="G186" s="90"/>
      <c r="H186" s="90"/>
      <c r="I186" s="90"/>
      <c r="J186" s="90"/>
      <c r="K186" s="90"/>
      <c r="L186" s="90"/>
      <c r="M186" s="90"/>
      <c r="N186" s="90"/>
    </row>
    <row r="187" spans="1:14" ht="12.75" hidden="1" outlineLevel="1">
      <c r="A187" s="90"/>
      <c r="B187" s="91" t="s">
        <v>146</v>
      </c>
      <c r="C187" s="90" t="s">
        <v>349</v>
      </c>
      <c r="D187" s="90" t="s">
        <v>1658</v>
      </c>
      <c r="E187" s="90"/>
      <c r="F187" s="90"/>
      <c r="G187" s="90"/>
      <c r="H187" s="90"/>
      <c r="I187" s="90"/>
      <c r="J187" s="90"/>
      <c r="K187" s="90"/>
      <c r="L187" s="90"/>
      <c r="M187" s="90"/>
      <c r="N187" s="90"/>
    </row>
    <row r="188" spans="1:14" ht="12.75" hidden="1" outlineLevel="1">
      <c r="A188" s="90"/>
      <c r="B188" s="91" t="s">
        <v>146</v>
      </c>
      <c r="C188" s="90" t="s">
        <v>550</v>
      </c>
      <c r="D188" s="90" t="s">
        <v>369</v>
      </c>
      <c r="E188" s="90"/>
      <c r="F188" s="90"/>
      <c r="G188" s="90"/>
      <c r="H188" s="90"/>
      <c r="I188" s="90"/>
      <c r="J188" s="90"/>
      <c r="K188" s="90"/>
      <c r="L188" s="90"/>
      <c r="M188" s="90"/>
      <c r="N188" s="90"/>
    </row>
    <row r="189" spans="1:14" ht="12.75" hidden="1" outlineLevel="1">
      <c r="A189" s="90"/>
      <c r="B189" s="91" t="s">
        <v>142</v>
      </c>
      <c r="C189" s="90" t="s">
        <v>343</v>
      </c>
      <c r="D189" s="90" t="s">
        <v>370</v>
      </c>
      <c r="E189" s="90"/>
      <c r="F189" s="90"/>
      <c r="G189" s="90"/>
      <c r="H189" s="90"/>
      <c r="I189" s="90"/>
      <c r="J189" s="90"/>
      <c r="K189" s="90"/>
      <c r="L189" s="90"/>
      <c r="M189" s="90"/>
      <c r="N189" s="90"/>
    </row>
    <row r="190" spans="1:14" ht="12.75" hidden="1" outlineLevel="1">
      <c r="A190" s="90"/>
      <c r="B190" s="91" t="s">
        <v>143</v>
      </c>
      <c r="C190" s="90" t="s">
        <v>437</v>
      </c>
      <c r="D190" s="90" t="s">
        <v>1630</v>
      </c>
      <c r="E190" s="90"/>
      <c r="F190" s="90"/>
      <c r="G190" s="90"/>
      <c r="H190" s="90"/>
      <c r="I190" s="90"/>
      <c r="J190" s="90"/>
      <c r="K190" s="90"/>
      <c r="L190" s="90"/>
      <c r="M190" s="90"/>
      <c r="N190" s="90"/>
    </row>
    <row r="191" spans="1:14" ht="12.75" hidden="1" outlineLevel="1">
      <c r="A191" s="90"/>
      <c r="B191" s="91" t="s">
        <v>143</v>
      </c>
      <c r="C191" s="90" t="s">
        <v>287</v>
      </c>
      <c r="D191" s="90" t="s">
        <v>372</v>
      </c>
      <c r="E191" s="90"/>
      <c r="F191" s="90"/>
      <c r="G191" s="90"/>
      <c r="H191" s="90"/>
      <c r="I191" s="90"/>
      <c r="J191" s="90"/>
      <c r="K191" s="90"/>
      <c r="L191" s="90"/>
      <c r="M191" s="90"/>
      <c r="N191" s="90"/>
    </row>
    <row r="192" spans="1:14" ht="12.75" hidden="1" outlineLevel="1">
      <c r="A192" s="90"/>
      <c r="B192" s="91" t="s">
        <v>144</v>
      </c>
      <c r="C192" s="90" t="s">
        <v>438</v>
      </c>
      <c r="D192" s="90" t="s">
        <v>164</v>
      </c>
      <c r="E192" s="90"/>
      <c r="F192" s="90"/>
      <c r="G192" s="90"/>
      <c r="H192" s="90"/>
      <c r="I192" s="90"/>
      <c r="J192" s="90"/>
      <c r="K192" s="90"/>
      <c r="L192" s="90"/>
      <c r="M192" s="90"/>
      <c r="N192" s="90"/>
    </row>
    <row r="193" spans="1:14" ht="12.75" hidden="1" outlineLevel="1">
      <c r="A193" s="90"/>
      <c r="B193" s="91" t="s">
        <v>153</v>
      </c>
      <c r="C193" s="90" t="s">
        <v>444</v>
      </c>
      <c r="D193" s="90" t="s">
        <v>373</v>
      </c>
      <c r="E193" s="90"/>
      <c r="F193" s="90"/>
      <c r="G193" s="90"/>
      <c r="H193" s="90"/>
      <c r="I193" s="90"/>
      <c r="J193" s="90"/>
      <c r="K193" s="90"/>
      <c r="L193" s="90"/>
      <c r="M193" s="90"/>
      <c r="N193" s="90"/>
    </row>
    <row r="194" spans="1:14" ht="12.75" hidden="1" outlineLevel="1">
      <c r="A194" s="90"/>
      <c r="B194" s="91" t="s">
        <v>153</v>
      </c>
      <c r="C194" s="90" t="s">
        <v>446</v>
      </c>
      <c r="D194" s="90" t="s">
        <v>374</v>
      </c>
      <c r="E194" s="90"/>
      <c r="F194" s="90"/>
      <c r="G194" s="90"/>
      <c r="H194" s="90"/>
      <c r="I194" s="90"/>
      <c r="J194" s="90"/>
      <c r="K194" s="90"/>
      <c r="L194" s="90"/>
      <c r="M194" s="90"/>
      <c r="N194" s="90"/>
    </row>
    <row r="195" spans="1:14" ht="12.75" hidden="1" outlineLevel="1">
      <c r="A195" s="90"/>
      <c r="B195" s="91" t="s">
        <v>139</v>
      </c>
      <c r="C195" s="90" t="s">
        <v>551</v>
      </c>
      <c r="D195" s="90" t="s">
        <v>375</v>
      </c>
      <c r="E195" s="90"/>
      <c r="F195" s="90"/>
      <c r="G195" s="90"/>
      <c r="H195" s="90"/>
      <c r="I195" s="90"/>
      <c r="J195" s="90"/>
      <c r="K195" s="90"/>
      <c r="L195" s="90"/>
      <c r="M195" s="90"/>
      <c r="N195" s="90"/>
    </row>
    <row r="196" spans="1:14" ht="12.75" hidden="1" outlineLevel="1">
      <c r="A196" s="90"/>
      <c r="B196" s="91" t="s">
        <v>148</v>
      </c>
      <c r="C196" s="90" t="s">
        <v>552</v>
      </c>
      <c r="D196" s="89" t="s">
        <v>376</v>
      </c>
      <c r="E196" s="90"/>
      <c r="F196" s="90"/>
      <c r="G196" s="90"/>
      <c r="H196" s="90"/>
      <c r="I196" s="90"/>
      <c r="J196" s="90"/>
      <c r="K196" s="90"/>
      <c r="L196" s="90"/>
      <c r="M196" s="90"/>
      <c r="N196" s="90"/>
    </row>
    <row r="197" spans="1:14" ht="12.75" hidden="1" outlineLevel="1">
      <c r="A197" s="90"/>
      <c r="B197" s="91" t="s">
        <v>154</v>
      </c>
      <c r="C197" s="90" t="s">
        <v>352</v>
      </c>
      <c r="D197" s="90" t="s">
        <v>164</v>
      </c>
      <c r="E197" s="90"/>
      <c r="F197" s="90"/>
      <c r="G197" s="90"/>
      <c r="H197" s="90"/>
      <c r="I197" s="90"/>
      <c r="J197" s="90"/>
      <c r="K197" s="90"/>
      <c r="L197" s="90"/>
      <c r="M197" s="90"/>
      <c r="N197" s="90"/>
    </row>
    <row r="198" spans="1:14" ht="12.75" hidden="1" outlineLevel="1">
      <c r="A198" s="90"/>
      <c r="B198" s="91" t="s">
        <v>154</v>
      </c>
      <c r="C198" s="90" t="s">
        <v>342</v>
      </c>
      <c r="D198" s="90" t="s">
        <v>1629</v>
      </c>
      <c r="E198" s="90"/>
      <c r="F198" s="90"/>
      <c r="G198" s="90"/>
      <c r="H198" s="90"/>
      <c r="I198" s="90"/>
      <c r="J198" s="90"/>
      <c r="K198" s="90"/>
      <c r="L198" s="90"/>
      <c r="M198" s="90"/>
      <c r="N198" s="90"/>
    </row>
    <row r="199" spans="1:14" ht="12.75" hidden="1" outlineLevel="1">
      <c r="A199" s="90"/>
      <c r="B199" s="91" t="s">
        <v>336</v>
      </c>
      <c r="C199" s="90" t="s">
        <v>281</v>
      </c>
      <c r="D199" s="89" t="s">
        <v>377</v>
      </c>
      <c r="E199" s="90"/>
      <c r="F199" s="90"/>
      <c r="G199" s="90"/>
      <c r="H199" s="90"/>
      <c r="I199" s="90"/>
      <c r="J199" s="90"/>
      <c r="K199" s="90"/>
      <c r="L199" s="90"/>
      <c r="M199" s="90"/>
      <c r="N199" s="90"/>
    </row>
    <row r="200" spans="1:14" ht="12.75" hidden="1" outlineLevel="1">
      <c r="A200" s="90"/>
      <c r="B200" s="91" t="s">
        <v>334</v>
      </c>
      <c r="C200" s="90" t="s">
        <v>350</v>
      </c>
      <c r="D200" s="90" t="s">
        <v>378</v>
      </c>
      <c r="E200" s="90"/>
      <c r="F200" s="90"/>
      <c r="G200" s="90"/>
      <c r="H200" s="96"/>
      <c r="I200" s="97"/>
      <c r="J200" s="97"/>
      <c r="K200" s="97"/>
      <c r="L200" s="98"/>
      <c r="M200" s="96"/>
      <c r="N200" s="97"/>
    </row>
    <row r="201" spans="1:14" ht="12.75" hidden="1" outlineLevel="1">
      <c r="A201" s="90"/>
      <c r="B201" s="91" t="s">
        <v>145</v>
      </c>
      <c r="C201" s="90" t="s">
        <v>439</v>
      </c>
      <c r="D201" s="90" t="s">
        <v>492</v>
      </c>
      <c r="E201" s="90"/>
      <c r="F201" s="90"/>
      <c r="G201" s="90"/>
      <c r="H201" s="96"/>
      <c r="I201" s="99"/>
      <c r="J201" s="99"/>
      <c r="K201" s="96"/>
      <c r="L201" s="98"/>
      <c r="M201" s="96"/>
      <c r="N201" s="96"/>
    </row>
    <row r="202" spans="1:14" ht="12.75" hidden="1" outlineLevel="1">
      <c r="A202" s="90"/>
      <c r="B202" s="91" t="s">
        <v>335</v>
      </c>
      <c r="C202" s="90" t="s">
        <v>283</v>
      </c>
      <c r="D202" s="90" t="s">
        <v>382</v>
      </c>
      <c r="E202" s="90"/>
      <c r="F202" s="90"/>
      <c r="G202" s="90"/>
      <c r="H202" s="96"/>
      <c r="I202" s="99"/>
      <c r="J202" s="99"/>
      <c r="K202" s="96"/>
      <c r="L202" s="98"/>
      <c r="M202" s="96"/>
      <c r="N202" s="96"/>
    </row>
    <row r="203" spans="1:14" ht="12.75" hidden="1" outlineLevel="1">
      <c r="A203" s="90"/>
      <c r="B203" s="91" t="s">
        <v>152</v>
      </c>
      <c r="C203" s="90" t="s">
        <v>291</v>
      </c>
      <c r="D203" s="90" t="s">
        <v>317</v>
      </c>
      <c r="E203" s="90"/>
      <c r="F203" s="90"/>
      <c r="G203" s="90"/>
      <c r="H203" s="96"/>
      <c r="I203" s="99"/>
      <c r="J203" s="99"/>
      <c r="K203" s="96"/>
      <c r="L203" s="96"/>
      <c r="M203" s="96"/>
      <c r="N203" s="96"/>
    </row>
    <row r="204" spans="1:14" ht="12.75" hidden="1" outlineLevel="1">
      <c r="A204" s="90"/>
      <c r="B204" s="91" t="s">
        <v>149</v>
      </c>
      <c r="C204" s="90" t="s">
        <v>277</v>
      </c>
      <c r="D204" s="90" t="s">
        <v>318</v>
      </c>
      <c r="E204" s="90"/>
      <c r="F204" s="90"/>
      <c r="G204" s="90"/>
      <c r="H204" s="96"/>
      <c r="I204" s="99"/>
      <c r="J204" s="99"/>
      <c r="K204" s="96"/>
      <c r="L204" s="98"/>
      <c r="M204" s="96"/>
      <c r="N204" s="96"/>
    </row>
    <row r="205" spans="1:14" ht="12.75" hidden="1" outlineLevel="1">
      <c r="A205" s="90"/>
      <c r="B205" s="91" t="s">
        <v>150</v>
      </c>
      <c r="C205" s="90" t="s">
        <v>278</v>
      </c>
      <c r="D205" s="90" t="s">
        <v>319</v>
      </c>
      <c r="E205" s="90"/>
      <c r="F205" s="90"/>
      <c r="G205" s="90"/>
      <c r="H205" s="96"/>
      <c r="I205" s="99"/>
      <c r="J205" s="99"/>
      <c r="K205" s="96"/>
      <c r="L205" s="98"/>
      <c r="M205" s="96"/>
      <c r="N205" s="96"/>
    </row>
    <row r="206" spans="1:14" ht="12.75" hidden="1" outlineLevel="1">
      <c r="A206" s="90"/>
      <c r="B206" s="91" t="s">
        <v>155</v>
      </c>
      <c r="C206" s="90" t="s">
        <v>351</v>
      </c>
      <c r="D206" s="90" t="s">
        <v>320</v>
      </c>
      <c r="E206" s="90"/>
      <c r="F206" s="90"/>
      <c r="G206" s="90"/>
      <c r="H206" s="90"/>
      <c r="I206" s="90"/>
      <c r="J206" s="90"/>
      <c r="K206" s="90"/>
      <c r="L206" s="90"/>
      <c r="M206" s="90"/>
      <c r="N206" s="90"/>
    </row>
    <row r="207" spans="1:14" ht="12.75" hidden="1" outlineLevel="1">
      <c r="A207" s="90"/>
      <c r="B207" s="91" t="s">
        <v>155</v>
      </c>
      <c r="C207" s="90" t="s">
        <v>279</v>
      </c>
      <c r="D207" s="90" t="s">
        <v>321</v>
      </c>
      <c r="E207" s="90"/>
      <c r="F207" s="90"/>
      <c r="G207" s="90"/>
      <c r="H207" s="90"/>
      <c r="I207" s="90"/>
      <c r="J207" s="90"/>
      <c r="K207" s="90"/>
      <c r="L207" s="90"/>
      <c r="M207" s="90"/>
      <c r="N207" s="90"/>
    </row>
    <row r="208" spans="1:14" ht="12.75" hidden="1" outlineLevel="1">
      <c r="A208" s="90"/>
      <c r="B208" s="91" t="s">
        <v>147</v>
      </c>
      <c r="C208" s="90" t="s">
        <v>353</v>
      </c>
      <c r="D208" s="90" t="s">
        <v>322</v>
      </c>
      <c r="E208" s="90"/>
      <c r="F208" s="90"/>
      <c r="G208" s="90"/>
      <c r="H208" s="90"/>
      <c r="I208" s="90"/>
      <c r="J208" s="90"/>
      <c r="K208" s="90"/>
      <c r="L208" s="90"/>
      <c r="M208" s="90"/>
      <c r="N208" s="90"/>
    </row>
    <row r="209" spans="1:14" ht="12.75" hidden="1" outlineLevel="1">
      <c r="A209" s="90"/>
      <c r="B209" s="91" t="s">
        <v>151</v>
      </c>
      <c r="C209" s="90" t="s">
        <v>282</v>
      </c>
      <c r="D209" s="90" t="s">
        <v>403</v>
      </c>
      <c r="E209" s="90"/>
      <c r="F209" s="90"/>
      <c r="G209" s="90"/>
      <c r="H209" s="90"/>
      <c r="I209" s="90"/>
      <c r="J209" s="90"/>
      <c r="K209" s="90"/>
      <c r="L209" s="90"/>
      <c r="M209" s="90"/>
      <c r="N209" s="90"/>
    </row>
    <row r="210" spans="1:14" ht="12.75" hidden="1" outlineLevel="1">
      <c r="A210" s="90"/>
      <c r="B210" s="91" t="s">
        <v>337</v>
      </c>
      <c r="C210" s="90" t="s">
        <v>553</v>
      </c>
      <c r="D210" s="90" t="s">
        <v>404</v>
      </c>
      <c r="E210" s="90"/>
      <c r="F210" s="90"/>
      <c r="G210" s="90"/>
      <c r="H210" s="90"/>
      <c r="I210" s="90"/>
      <c r="J210" s="90"/>
      <c r="K210" s="90"/>
      <c r="L210" s="90"/>
      <c r="M210" s="90"/>
      <c r="N210" s="90"/>
    </row>
    <row r="211" spans="1:14" ht="12.75" hidden="1" outlineLevel="1">
      <c r="A211" s="90"/>
      <c r="B211" s="91" t="s">
        <v>156</v>
      </c>
      <c r="C211" s="90" t="s">
        <v>288</v>
      </c>
      <c r="D211" s="90" t="s">
        <v>405</v>
      </c>
      <c r="E211" s="90"/>
      <c r="F211" s="90"/>
      <c r="G211" s="90"/>
      <c r="H211" s="90"/>
      <c r="I211" s="90"/>
      <c r="J211" s="90"/>
      <c r="K211" s="90"/>
      <c r="L211" s="90"/>
      <c r="M211" s="90"/>
      <c r="N211" s="90"/>
    </row>
    <row r="212" spans="1:14" ht="12.75" collapsed="1">
      <c r="A212" s="90"/>
      <c r="B212" s="90"/>
      <c r="C212" s="90"/>
      <c r="D212" s="90"/>
      <c r="E212" s="90"/>
      <c r="F212" s="90"/>
      <c r="G212" s="90"/>
      <c r="H212" s="90"/>
      <c r="I212" s="90"/>
      <c r="J212" s="90"/>
      <c r="K212" s="90"/>
      <c r="L212" s="90"/>
      <c r="M212" s="90"/>
      <c r="N212" s="90"/>
    </row>
    <row r="213" spans="1:14" s="120" customFormat="1" ht="15.75">
      <c r="A213" s="117">
        <v>6</v>
      </c>
      <c r="B213" s="119" t="s">
        <v>299</v>
      </c>
      <c r="C213" s="119"/>
      <c r="D213" s="119"/>
      <c r="E213" s="119"/>
      <c r="F213" s="119"/>
      <c r="G213" s="119"/>
      <c r="H213" s="119"/>
      <c r="I213" s="119"/>
      <c r="J213" s="119"/>
      <c r="K213" s="119"/>
      <c r="L213" s="119"/>
      <c r="M213" s="119"/>
      <c r="N213" s="119"/>
    </row>
    <row r="214" spans="1:14" s="132" customFormat="1" ht="12.75" hidden="1" outlineLevel="1">
      <c r="A214" s="127"/>
      <c r="B214" s="126" t="s">
        <v>324</v>
      </c>
      <c r="C214" s="126" t="s">
        <v>189</v>
      </c>
      <c r="D214" s="126" t="s">
        <v>1474</v>
      </c>
      <c r="E214" s="126"/>
      <c r="F214" s="126"/>
      <c r="G214" s="126"/>
      <c r="H214" s="126"/>
      <c r="I214" s="126"/>
      <c r="J214" s="126"/>
      <c r="K214" s="126"/>
      <c r="L214" s="126"/>
      <c r="M214" s="126"/>
      <c r="N214" s="126"/>
    </row>
    <row r="215" spans="1:14" ht="12.75" hidden="1" outlineLevel="1">
      <c r="A215" s="90"/>
      <c r="B215" s="91" t="s">
        <v>140</v>
      </c>
      <c r="C215" s="90" t="s">
        <v>341</v>
      </c>
      <c r="D215" s="190" t="s">
        <v>381</v>
      </c>
      <c r="E215" s="90"/>
      <c r="F215" s="90"/>
      <c r="G215" s="90"/>
      <c r="H215" s="90"/>
      <c r="I215" s="90"/>
      <c r="J215" s="90"/>
      <c r="K215" s="90"/>
      <c r="L215" s="90"/>
      <c r="M215" s="90"/>
      <c r="N215" s="90"/>
    </row>
    <row r="216" spans="1:14" ht="12.75" hidden="1" outlineLevel="1">
      <c r="A216" s="90"/>
      <c r="B216" s="91" t="s">
        <v>332</v>
      </c>
      <c r="C216" s="90" t="s">
        <v>436</v>
      </c>
      <c r="D216" s="190" t="s">
        <v>174</v>
      </c>
      <c r="E216" s="90"/>
      <c r="F216" s="90"/>
      <c r="G216" s="90"/>
      <c r="H216" s="90"/>
      <c r="I216" s="90"/>
      <c r="J216" s="90"/>
      <c r="K216" s="90"/>
      <c r="L216" s="90"/>
      <c r="M216" s="90"/>
      <c r="N216" s="90"/>
    </row>
    <row r="217" spans="1:14" ht="12.75" hidden="1" outlineLevel="1">
      <c r="A217" s="90"/>
      <c r="B217" s="91" t="s">
        <v>142</v>
      </c>
      <c r="C217" s="90" t="s">
        <v>343</v>
      </c>
      <c r="D217" s="190" t="s">
        <v>174</v>
      </c>
      <c r="E217" s="90"/>
      <c r="F217" s="90"/>
      <c r="G217" s="90"/>
      <c r="H217" s="90"/>
      <c r="I217" s="90"/>
      <c r="J217" s="90"/>
      <c r="K217" s="90"/>
      <c r="L217" s="90"/>
      <c r="M217" s="90"/>
      <c r="N217" s="90"/>
    </row>
    <row r="218" spans="1:14" ht="12.75" hidden="1" outlineLevel="1">
      <c r="A218" s="90"/>
      <c r="B218" s="91" t="s">
        <v>143</v>
      </c>
      <c r="C218" s="90" t="s">
        <v>287</v>
      </c>
      <c r="D218" s="190" t="s">
        <v>174</v>
      </c>
      <c r="E218" s="90"/>
      <c r="F218" s="90"/>
      <c r="G218" s="90"/>
      <c r="H218" s="90"/>
      <c r="I218" s="90"/>
      <c r="J218" s="90"/>
      <c r="K218" s="90"/>
      <c r="L218" s="90"/>
      <c r="M218" s="90"/>
      <c r="N218" s="90"/>
    </row>
    <row r="219" spans="1:14" ht="12.75" hidden="1" outlineLevel="1">
      <c r="A219" s="90"/>
      <c r="B219" s="91" t="s">
        <v>153</v>
      </c>
      <c r="C219" s="90" t="s">
        <v>444</v>
      </c>
      <c r="D219" s="190" t="s">
        <v>174</v>
      </c>
      <c r="E219" s="90"/>
      <c r="F219" s="90"/>
      <c r="G219" s="90"/>
      <c r="H219" s="90"/>
      <c r="I219" s="90"/>
      <c r="J219" s="90"/>
      <c r="K219" s="90"/>
      <c r="L219" s="90"/>
      <c r="M219" s="90"/>
      <c r="N219" s="90"/>
    </row>
    <row r="220" spans="1:14" ht="12.75" hidden="1" outlineLevel="1">
      <c r="A220" s="90"/>
      <c r="B220" s="91" t="s">
        <v>150</v>
      </c>
      <c r="C220" s="90" t="s">
        <v>278</v>
      </c>
      <c r="D220" s="190" t="s">
        <v>174</v>
      </c>
      <c r="E220" s="90"/>
      <c r="F220" s="90"/>
      <c r="G220" s="90"/>
      <c r="H220" s="90"/>
      <c r="I220" s="90"/>
      <c r="J220" s="90"/>
      <c r="K220" s="90"/>
      <c r="L220" s="90"/>
      <c r="M220" s="90"/>
      <c r="N220" s="90"/>
    </row>
    <row r="221" spans="1:14" ht="12.75" hidden="1" outlineLevel="1">
      <c r="A221" s="90"/>
      <c r="B221" s="91" t="s">
        <v>332</v>
      </c>
      <c r="C221" s="90" t="s">
        <v>286</v>
      </c>
      <c r="D221" s="190" t="s">
        <v>171</v>
      </c>
      <c r="E221" s="90"/>
      <c r="F221" s="90"/>
      <c r="G221" s="90"/>
      <c r="H221" s="90"/>
      <c r="I221" s="90"/>
      <c r="J221" s="90"/>
      <c r="K221" s="90"/>
      <c r="L221" s="90"/>
      <c r="M221" s="90"/>
      <c r="N221" s="90"/>
    </row>
    <row r="222" spans="1:14" ht="12.75" hidden="1" outlineLevel="1">
      <c r="A222" s="90"/>
      <c r="B222" s="91" t="s">
        <v>141</v>
      </c>
      <c r="C222" s="90" t="s">
        <v>445</v>
      </c>
      <c r="D222" s="190" t="s">
        <v>171</v>
      </c>
      <c r="E222" s="90"/>
      <c r="F222" s="90"/>
      <c r="G222" s="90"/>
      <c r="H222" s="90"/>
      <c r="I222" s="90"/>
      <c r="J222" s="90"/>
      <c r="K222" s="90"/>
      <c r="L222" s="90"/>
      <c r="M222" s="90"/>
      <c r="N222" s="90"/>
    </row>
    <row r="223" spans="1:14" ht="12.75" hidden="1" outlineLevel="1">
      <c r="A223" s="90"/>
      <c r="B223" s="91" t="s">
        <v>143</v>
      </c>
      <c r="C223" s="90" t="s">
        <v>437</v>
      </c>
      <c r="D223" s="190" t="s">
        <v>171</v>
      </c>
      <c r="E223" s="90"/>
      <c r="F223" s="90"/>
      <c r="G223" s="90"/>
      <c r="H223" s="90"/>
      <c r="I223" s="90"/>
      <c r="J223" s="90"/>
      <c r="K223" s="90"/>
      <c r="L223" s="90"/>
      <c r="M223" s="90"/>
      <c r="N223" s="90"/>
    </row>
    <row r="224" spans="1:14" ht="12.75" hidden="1" outlineLevel="1">
      <c r="A224" s="90"/>
      <c r="B224" s="91" t="s">
        <v>144</v>
      </c>
      <c r="C224" s="90" t="s">
        <v>438</v>
      </c>
      <c r="D224" s="190" t="s">
        <v>171</v>
      </c>
      <c r="E224" s="90"/>
      <c r="F224" s="90"/>
      <c r="G224" s="90"/>
      <c r="H224" s="90"/>
      <c r="I224" s="90"/>
      <c r="J224" s="90"/>
      <c r="K224" s="90"/>
      <c r="L224" s="90"/>
      <c r="M224" s="90"/>
      <c r="N224" s="90"/>
    </row>
    <row r="225" spans="1:14" ht="12.75" hidden="1" outlineLevel="1">
      <c r="A225" s="90"/>
      <c r="B225" s="91" t="s">
        <v>153</v>
      </c>
      <c r="C225" s="90" t="s">
        <v>446</v>
      </c>
      <c r="D225" s="190" t="s">
        <v>171</v>
      </c>
      <c r="E225" s="90"/>
      <c r="F225" s="90"/>
      <c r="G225" s="90"/>
      <c r="H225" s="90"/>
      <c r="I225" s="90"/>
      <c r="J225" s="90"/>
      <c r="K225" s="90"/>
      <c r="L225" s="90"/>
      <c r="M225" s="90"/>
      <c r="N225" s="90"/>
    </row>
    <row r="226" spans="1:14" ht="12.75" hidden="1" outlineLevel="1">
      <c r="A226" s="90"/>
      <c r="B226" s="91" t="s">
        <v>139</v>
      </c>
      <c r="C226" s="90" t="s">
        <v>551</v>
      </c>
      <c r="D226" s="190" t="s">
        <v>171</v>
      </c>
      <c r="E226" s="90"/>
      <c r="F226" s="90"/>
      <c r="G226" s="90"/>
      <c r="H226" s="90"/>
      <c r="I226" s="90"/>
      <c r="J226" s="90"/>
      <c r="K226" s="90"/>
      <c r="L226" s="90"/>
      <c r="M226" s="90"/>
      <c r="N226" s="90"/>
    </row>
    <row r="227" spans="1:14" ht="12.75" hidden="1" outlineLevel="1">
      <c r="A227" s="90"/>
      <c r="B227" s="91" t="s">
        <v>148</v>
      </c>
      <c r="C227" s="90" t="s">
        <v>552</v>
      </c>
      <c r="D227" s="190" t="s">
        <v>171</v>
      </c>
      <c r="E227" s="90"/>
      <c r="F227" s="90"/>
      <c r="G227" s="90"/>
      <c r="H227" s="90"/>
      <c r="I227" s="90"/>
      <c r="J227" s="90"/>
      <c r="K227" s="90"/>
      <c r="L227" s="90"/>
      <c r="M227" s="90"/>
      <c r="N227" s="90"/>
    </row>
    <row r="228" spans="1:14" ht="12.75" hidden="1" outlineLevel="1">
      <c r="A228" s="90"/>
      <c r="B228" s="91" t="s">
        <v>154</v>
      </c>
      <c r="C228" s="90" t="s">
        <v>352</v>
      </c>
      <c r="D228" s="190" t="s">
        <v>171</v>
      </c>
      <c r="E228" s="90"/>
      <c r="F228" s="90"/>
      <c r="G228" s="90"/>
      <c r="H228" s="90"/>
      <c r="I228" s="90"/>
      <c r="J228" s="90"/>
      <c r="K228" s="90"/>
      <c r="L228" s="90"/>
      <c r="M228" s="90"/>
      <c r="N228" s="90"/>
    </row>
    <row r="229" spans="1:14" ht="12.75" hidden="1" outlineLevel="1">
      <c r="A229" s="90"/>
      <c r="B229" s="91" t="s">
        <v>154</v>
      </c>
      <c r="C229" s="90" t="s">
        <v>342</v>
      </c>
      <c r="D229" s="190" t="s">
        <v>171</v>
      </c>
      <c r="E229" s="90"/>
      <c r="F229" s="90"/>
      <c r="G229" s="90"/>
      <c r="H229" s="96"/>
      <c r="I229" s="97"/>
      <c r="J229" s="97"/>
      <c r="K229" s="97"/>
      <c r="L229" s="98"/>
      <c r="M229" s="96"/>
      <c r="N229" s="97"/>
    </row>
    <row r="230" spans="1:14" ht="12.75" hidden="1" outlineLevel="1">
      <c r="A230" s="90"/>
      <c r="B230" s="91" t="s">
        <v>334</v>
      </c>
      <c r="C230" s="90" t="s">
        <v>350</v>
      </c>
      <c r="D230" s="190" t="s">
        <v>171</v>
      </c>
      <c r="E230" s="90"/>
      <c r="F230" s="90"/>
      <c r="G230" s="90"/>
      <c r="H230" s="96"/>
      <c r="I230" s="99"/>
      <c r="J230" s="99"/>
      <c r="K230" s="96"/>
      <c r="L230" s="98"/>
      <c r="M230" s="96"/>
      <c r="N230" s="96"/>
    </row>
    <row r="231" spans="1:14" ht="12.75" hidden="1" outlineLevel="1">
      <c r="A231" s="90"/>
      <c r="B231" s="91" t="s">
        <v>145</v>
      </c>
      <c r="C231" s="90" t="s">
        <v>439</v>
      </c>
      <c r="D231" s="190" t="s">
        <v>171</v>
      </c>
      <c r="E231" s="90"/>
      <c r="F231" s="90"/>
      <c r="G231" s="90"/>
      <c r="H231" s="96"/>
      <c r="I231" s="99"/>
      <c r="J231" s="99"/>
      <c r="K231" s="96"/>
      <c r="L231" s="98"/>
      <c r="M231" s="96"/>
      <c r="N231" s="96"/>
    </row>
    <row r="232" spans="1:14" ht="12.75" hidden="1" outlineLevel="1">
      <c r="A232" s="90"/>
      <c r="B232" s="91" t="s">
        <v>335</v>
      </c>
      <c r="C232" s="90" t="s">
        <v>283</v>
      </c>
      <c r="D232" s="190" t="s">
        <v>171</v>
      </c>
      <c r="E232" s="90"/>
      <c r="F232" s="90"/>
      <c r="G232" s="90"/>
      <c r="H232" s="96"/>
      <c r="I232" s="99"/>
      <c r="J232" s="99"/>
      <c r="K232" s="96"/>
      <c r="L232" s="96"/>
      <c r="M232" s="96"/>
      <c r="N232" s="96"/>
    </row>
    <row r="233" spans="1:14" ht="12.75" hidden="1" outlineLevel="1">
      <c r="A233" s="90"/>
      <c r="B233" s="91" t="s">
        <v>149</v>
      </c>
      <c r="C233" s="90" t="s">
        <v>277</v>
      </c>
      <c r="D233" s="190" t="s">
        <v>171</v>
      </c>
      <c r="E233" s="90"/>
      <c r="F233" s="90"/>
      <c r="G233" s="90"/>
      <c r="H233" s="96"/>
      <c r="I233" s="99"/>
      <c r="J233" s="99"/>
      <c r="K233" s="96"/>
      <c r="L233" s="98"/>
      <c r="M233" s="96"/>
      <c r="N233" s="96"/>
    </row>
    <row r="234" spans="1:14" ht="12.75" hidden="1" outlineLevel="1">
      <c r="A234" s="90"/>
      <c r="B234" s="91" t="s">
        <v>147</v>
      </c>
      <c r="C234" s="90" t="s">
        <v>353</v>
      </c>
      <c r="D234" s="190" t="s">
        <v>171</v>
      </c>
      <c r="E234" s="90"/>
      <c r="F234" s="90"/>
      <c r="G234" s="90"/>
      <c r="H234" s="96"/>
      <c r="I234" s="99"/>
      <c r="J234" s="99"/>
      <c r="K234" s="96"/>
      <c r="L234" s="98"/>
      <c r="M234" s="96"/>
      <c r="N234" s="96"/>
    </row>
    <row r="235" spans="1:14" ht="12.75" hidden="1" outlineLevel="1">
      <c r="A235" s="90"/>
      <c r="B235" s="91" t="s">
        <v>151</v>
      </c>
      <c r="C235" s="90" t="s">
        <v>282</v>
      </c>
      <c r="D235" s="190" t="s">
        <v>171</v>
      </c>
      <c r="E235" s="90"/>
      <c r="F235" s="90"/>
      <c r="G235" s="90"/>
      <c r="H235" s="90"/>
      <c r="I235" s="90"/>
      <c r="J235" s="90"/>
      <c r="K235" s="90"/>
      <c r="L235" s="90"/>
      <c r="M235" s="90"/>
      <c r="N235" s="90"/>
    </row>
    <row r="236" spans="1:14" ht="12.75" hidden="1" outlineLevel="1">
      <c r="A236" s="90"/>
      <c r="B236" s="91" t="s">
        <v>337</v>
      </c>
      <c r="C236" s="90" t="s">
        <v>553</v>
      </c>
      <c r="D236" s="190" t="s">
        <v>171</v>
      </c>
      <c r="E236" s="90"/>
      <c r="F236" s="90"/>
      <c r="G236" s="90"/>
      <c r="H236" s="90"/>
      <c r="I236" s="90"/>
      <c r="J236" s="90"/>
      <c r="K236" s="90"/>
      <c r="L236" s="90"/>
      <c r="M236" s="90"/>
      <c r="N236" s="90"/>
    </row>
    <row r="237" spans="1:14" ht="12.75" hidden="1" outlineLevel="1">
      <c r="A237" s="90"/>
      <c r="B237" s="91" t="s">
        <v>156</v>
      </c>
      <c r="C237" s="90" t="s">
        <v>288</v>
      </c>
      <c r="D237" s="190" t="s">
        <v>171</v>
      </c>
      <c r="E237" s="90"/>
      <c r="F237" s="90"/>
      <c r="G237" s="90"/>
      <c r="H237" s="90"/>
      <c r="I237" s="90"/>
      <c r="J237" s="90"/>
      <c r="K237" s="90"/>
      <c r="L237" s="90"/>
      <c r="M237" s="90"/>
      <c r="N237" s="90"/>
    </row>
    <row r="238" spans="1:14" ht="12.75" hidden="1" outlineLevel="1">
      <c r="A238" s="90"/>
      <c r="B238" s="91" t="s">
        <v>332</v>
      </c>
      <c r="C238" s="90" t="s">
        <v>554</v>
      </c>
      <c r="D238" s="190" t="s">
        <v>169</v>
      </c>
      <c r="E238" s="90"/>
      <c r="F238" s="90"/>
      <c r="G238" s="90"/>
      <c r="H238" s="90"/>
      <c r="I238" s="90"/>
      <c r="J238" s="90"/>
      <c r="K238" s="90"/>
      <c r="L238" s="90"/>
      <c r="M238" s="90"/>
      <c r="N238" s="90"/>
    </row>
    <row r="239" spans="1:14" ht="12.75" hidden="1" outlineLevel="1">
      <c r="A239" s="90"/>
      <c r="B239" s="91" t="s">
        <v>146</v>
      </c>
      <c r="C239" s="90" t="s">
        <v>349</v>
      </c>
      <c r="D239" s="190" t="s">
        <v>169</v>
      </c>
      <c r="E239" s="90"/>
      <c r="F239" s="90"/>
      <c r="G239" s="90"/>
      <c r="H239" s="90"/>
      <c r="I239" s="90"/>
      <c r="J239" s="90"/>
      <c r="K239" s="90"/>
      <c r="L239" s="90"/>
      <c r="M239" s="90"/>
      <c r="N239" s="90"/>
    </row>
    <row r="240" spans="1:14" ht="12.75" hidden="1" outlineLevel="1">
      <c r="A240" s="90"/>
      <c r="B240" s="91" t="s">
        <v>146</v>
      </c>
      <c r="C240" s="90" t="s">
        <v>550</v>
      </c>
      <c r="D240" s="190" t="s">
        <v>169</v>
      </c>
      <c r="E240" s="90"/>
      <c r="F240" s="90"/>
      <c r="G240" s="90"/>
      <c r="H240" s="90"/>
      <c r="I240" s="90"/>
      <c r="J240" s="90"/>
      <c r="K240" s="90"/>
      <c r="L240" s="90"/>
      <c r="M240" s="90"/>
      <c r="N240" s="90"/>
    </row>
    <row r="241" spans="1:14" ht="12.75" hidden="1" outlineLevel="1">
      <c r="A241" s="90"/>
      <c r="B241" s="91" t="s">
        <v>336</v>
      </c>
      <c r="C241" s="90" t="s">
        <v>281</v>
      </c>
      <c r="D241" s="199" t="s">
        <v>169</v>
      </c>
      <c r="E241" s="90"/>
      <c r="F241" s="90"/>
      <c r="G241" s="90"/>
      <c r="H241" s="90"/>
      <c r="I241" s="90"/>
      <c r="J241" s="90"/>
      <c r="K241" s="90"/>
      <c r="L241" s="90"/>
      <c r="M241" s="90"/>
      <c r="N241" s="90"/>
    </row>
    <row r="242" spans="1:14" ht="12.75" hidden="1" outlineLevel="1">
      <c r="A242" s="90"/>
      <c r="B242" s="91" t="s">
        <v>152</v>
      </c>
      <c r="C242" s="90" t="s">
        <v>291</v>
      </c>
      <c r="D242" s="190" t="s">
        <v>169</v>
      </c>
      <c r="E242" s="90"/>
      <c r="F242" s="90"/>
      <c r="G242" s="90"/>
      <c r="H242" s="90"/>
      <c r="I242" s="90"/>
      <c r="J242" s="90"/>
      <c r="K242" s="90"/>
      <c r="L242" s="90"/>
      <c r="M242" s="90"/>
      <c r="N242" s="90"/>
    </row>
    <row r="243" spans="1:14" ht="12.75" hidden="1" outlineLevel="1">
      <c r="A243" s="90"/>
      <c r="B243" s="91" t="s">
        <v>155</v>
      </c>
      <c r="C243" s="90" t="s">
        <v>351</v>
      </c>
      <c r="D243" s="190" t="s">
        <v>169</v>
      </c>
      <c r="E243" s="90"/>
      <c r="F243" s="90"/>
      <c r="G243" s="90"/>
      <c r="H243" s="90"/>
      <c r="I243" s="90"/>
      <c r="J243" s="90"/>
      <c r="K243" s="90"/>
      <c r="L243" s="90"/>
      <c r="M243" s="90"/>
      <c r="N243" s="90"/>
    </row>
    <row r="244" spans="1:14" ht="12.75" hidden="1" outlineLevel="1">
      <c r="A244" s="90"/>
      <c r="B244" s="91" t="s">
        <v>155</v>
      </c>
      <c r="C244" s="90" t="s">
        <v>279</v>
      </c>
      <c r="D244" s="190" t="s">
        <v>169</v>
      </c>
      <c r="E244" s="90"/>
      <c r="F244" s="90"/>
      <c r="G244" s="90"/>
      <c r="H244" s="90"/>
      <c r="I244" s="90"/>
      <c r="J244" s="90"/>
      <c r="K244" s="90"/>
      <c r="L244" s="90"/>
      <c r="M244" s="90"/>
      <c r="N244" s="90"/>
    </row>
    <row r="245" spans="1:14" ht="12.75" collapsed="1">
      <c r="A245" s="90"/>
      <c r="B245" s="90"/>
      <c r="C245" s="90"/>
      <c r="D245" s="90"/>
      <c r="E245" s="90"/>
      <c r="F245" s="90"/>
      <c r="G245" s="90"/>
      <c r="H245" s="90"/>
      <c r="I245" s="90"/>
      <c r="J245" s="90"/>
      <c r="K245" s="90"/>
      <c r="L245" s="90"/>
      <c r="M245" s="90"/>
      <c r="N245" s="90"/>
    </row>
    <row r="246" spans="1:14" s="108" customFormat="1" ht="12.75">
      <c r="A246" s="107"/>
      <c r="B246" s="107" t="str">
        <f>CONCATENATE("Twice a month = ",COUNTIF(D215:D244,"Twice a month"),TEXT((COUNTIF(D215:D244,"twice a month")/ROWS(D215:D244)),"   (#%)"))</f>
        <v>Twice a month = 1   (3%)</v>
      </c>
      <c r="C246" s="107"/>
      <c r="D246" s="107"/>
      <c r="E246" s="107"/>
      <c r="F246" s="107"/>
      <c r="G246" s="107"/>
      <c r="H246" s="107"/>
      <c r="I246" s="107"/>
      <c r="J246" s="107"/>
      <c r="K246" s="107"/>
      <c r="L246" s="107"/>
      <c r="M246" s="107"/>
      <c r="N246" s="107"/>
    </row>
    <row r="247" spans="1:14" s="108" customFormat="1" ht="12.75">
      <c r="A247" s="107"/>
      <c r="B247" s="107" t="str">
        <f>CONCATENATE("Once a month = ",COUNTIF($D$215:$D$244,"Once a month"),TEXT((COUNTIF($D$215:$D$244,"once a month")/ROWS(D216:D245)),"   (#%)"))</f>
        <v>Once a month = 5   (17%)</v>
      </c>
      <c r="C247" s="107"/>
      <c r="D247" s="107"/>
      <c r="E247" s="107"/>
      <c r="F247" s="107"/>
      <c r="G247" s="107"/>
      <c r="H247" s="107"/>
      <c r="I247" s="107"/>
      <c r="J247" s="107"/>
      <c r="K247" s="107"/>
      <c r="L247" s="107"/>
      <c r="M247" s="107"/>
      <c r="N247" s="107"/>
    </row>
    <row r="248" spans="1:14" s="108" customFormat="1" ht="12.75">
      <c r="A248" s="107"/>
      <c r="B248" s="107" t="str">
        <f>CONCATENATE("Once every two months = ",COUNTIF($D$215:$D$244,"Once every two months"),TEXT((COUNTIF($D$215:$D$244,"Once every two months")/ROWS(D215:D244)),"   (#%)"))</f>
        <v>Once every two months = 17   (57%)</v>
      </c>
      <c r="C248" s="107"/>
      <c r="D248" s="107"/>
      <c r="E248" s="107"/>
      <c r="F248" s="107"/>
      <c r="G248" s="107"/>
      <c r="H248" s="133"/>
      <c r="I248" s="134"/>
      <c r="J248" s="134"/>
      <c r="K248" s="134"/>
      <c r="L248" s="138"/>
      <c r="M248" s="133"/>
      <c r="N248" s="134"/>
    </row>
    <row r="249" spans="1:14" s="108" customFormat="1" ht="12.75">
      <c r="A249" s="107"/>
      <c r="B249" s="107" t="str">
        <f>CONCATENATE("Once a quarter = ",COUNTIF($D$215:$D$244,"Once a quarter"),TEXT((COUNTIF($D$215:$D$244,"Once a quarter")/ROWS(D216:D245)),"   (#%)"))</f>
        <v>Once a quarter = 7   (23%)</v>
      </c>
      <c r="C249" s="107"/>
      <c r="D249" s="107"/>
      <c r="E249" s="107"/>
      <c r="F249" s="107"/>
      <c r="G249" s="107"/>
      <c r="H249" s="133"/>
      <c r="I249" s="135"/>
      <c r="J249" s="135"/>
      <c r="K249" s="133"/>
      <c r="L249" s="138"/>
      <c r="M249" s="133"/>
      <c r="N249" s="133"/>
    </row>
    <row r="250" spans="1:14" ht="12.75">
      <c r="A250" s="90"/>
      <c r="B250" s="90"/>
      <c r="C250" s="90"/>
      <c r="D250" s="90"/>
      <c r="E250" s="90"/>
      <c r="F250" s="90"/>
      <c r="G250" s="90"/>
      <c r="H250" s="96"/>
      <c r="I250" s="99"/>
      <c r="J250" s="99"/>
      <c r="K250" s="96"/>
      <c r="L250" s="98"/>
      <c r="M250" s="96"/>
      <c r="N250" s="96"/>
    </row>
    <row r="251" spans="1:14" ht="12.75">
      <c r="A251" s="90"/>
      <c r="B251" s="90"/>
      <c r="C251" s="139" t="s">
        <v>1323</v>
      </c>
      <c r="D251" s="90"/>
      <c r="E251" s="90"/>
      <c r="F251" s="90"/>
      <c r="G251" s="90"/>
      <c r="H251" s="96"/>
      <c r="I251" s="99"/>
      <c r="J251" s="99"/>
      <c r="K251" s="96"/>
      <c r="L251" s="96"/>
      <c r="M251" s="96"/>
      <c r="N251" s="96"/>
    </row>
    <row r="252" spans="1:14" ht="12.75">
      <c r="A252" s="90"/>
      <c r="B252" s="90"/>
      <c r="C252" s="90" t="s">
        <v>27</v>
      </c>
      <c r="D252" s="90"/>
      <c r="E252" s="90"/>
      <c r="F252" s="90"/>
      <c r="G252" s="90"/>
      <c r="H252" s="96"/>
      <c r="I252" s="99"/>
      <c r="J252" s="99"/>
      <c r="K252" s="96"/>
      <c r="L252" s="98"/>
      <c r="M252" s="96"/>
      <c r="N252" s="96"/>
    </row>
    <row r="253" spans="1:14" ht="12.75">
      <c r="A253" s="90"/>
      <c r="B253" s="90"/>
      <c r="C253" s="90" t="s">
        <v>28</v>
      </c>
      <c r="D253" s="90"/>
      <c r="E253" s="90"/>
      <c r="F253" s="90"/>
      <c r="G253" s="90"/>
      <c r="H253" s="96"/>
      <c r="I253" s="99"/>
      <c r="J253" s="99"/>
      <c r="K253" s="96"/>
      <c r="L253" s="98"/>
      <c r="M253" s="96"/>
      <c r="N253" s="96"/>
    </row>
    <row r="254" spans="1:14" ht="12.75">
      <c r="A254" s="90"/>
      <c r="B254" s="90"/>
      <c r="C254" s="90" t="s">
        <v>44</v>
      </c>
      <c r="D254" s="90"/>
      <c r="E254" s="90"/>
      <c r="F254" s="90"/>
      <c r="G254" s="90"/>
      <c r="H254" s="90"/>
      <c r="I254" s="90"/>
      <c r="J254" s="90"/>
      <c r="K254" s="90"/>
      <c r="L254" s="90"/>
      <c r="M254" s="90"/>
      <c r="N254" s="90"/>
    </row>
    <row r="255" spans="1:14" ht="12.75" hidden="1" outlineLevel="1">
      <c r="A255" s="90"/>
      <c r="B255" s="90"/>
      <c r="C255" s="90"/>
      <c r="D255" s="90"/>
      <c r="E255" s="90"/>
      <c r="F255" s="90"/>
      <c r="G255" s="90"/>
      <c r="H255" s="90"/>
      <c r="I255" s="90"/>
      <c r="J255" s="90"/>
      <c r="K255" s="90"/>
      <c r="L255" s="90"/>
      <c r="M255" s="90"/>
      <c r="N255" s="90"/>
    </row>
    <row r="256" spans="1:15" ht="12.75" hidden="1" outlineLevel="1">
      <c r="A256" s="90"/>
      <c r="B256" s="90"/>
      <c r="C256" s="106">
        <v>2011</v>
      </c>
      <c r="D256" s="106">
        <v>2014</v>
      </c>
      <c r="E256" s="106" t="s">
        <v>1322</v>
      </c>
      <c r="F256" s="101"/>
      <c r="G256" s="90"/>
      <c r="H256" s="96"/>
      <c r="I256" s="97">
        <v>20.11</v>
      </c>
      <c r="J256" s="97">
        <v>20.14</v>
      </c>
      <c r="K256" s="97" t="s">
        <v>1569</v>
      </c>
      <c r="L256" s="98" t="s">
        <v>1511</v>
      </c>
      <c r="M256" s="96" t="s">
        <v>1570</v>
      </c>
      <c r="N256" s="97" t="s">
        <v>1571</v>
      </c>
      <c r="O256" s="47"/>
    </row>
    <row r="257" spans="1:15" ht="12.75" hidden="1" outlineLevel="1">
      <c r="A257" s="90"/>
      <c r="B257" s="90"/>
      <c r="C257" s="147" t="s">
        <v>1573</v>
      </c>
      <c r="D257" s="147" t="s">
        <v>1576</v>
      </c>
      <c r="E257" s="189" t="s">
        <v>1083</v>
      </c>
      <c r="F257" s="90"/>
      <c r="G257" s="90"/>
      <c r="H257" s="96" t="s">
        <v>381</v>
      </c>
      <c r="I257" s="99" t="e">
        <f>K257/$M$257</f>
        <v>#VALUE!</v>
      </c>
      <c r="J257" s="99">
        <f>L257/$N$257</f>
        <v>0.03333333333333333</v>
      </c>
      <c r="K257" s="96" t="s">
        <v>1083</v>
      </c>
      <c r="L257" s="98">
        <v>1</v>
      </c>
      <c r="M257" s="96">
        <v>27</v>
      </c>
      <c r="N257" s="96">
        <v>30</v>
      </c>
      <c r="O257" s="47"/>
    </row>
    <row r="258" spans="1:15" ht="12.75" hidden="1" outlineLevel="1">
      <c r="A258" s="90"/>
      <c r="B258" s="90"/>
      <c r="C258" s="147" t="s">
        <v>1572</v>
      </c>
      <c r="D258" s="147" t="s">
        <v>1582</v>
      </c>
      <c r="E258" s="189">
        <f>(J258-I258)</f>
        <v>-0.09259259259259259</v>
      </c>
      <c r="F258" s="90"/>
      <c r="G258" s="90"/>
      <c r="H258" s="96" t="s">
        <v>174</v>
      </c>
      <c r="I258" s="99">
        <f>K258/$M$257</f>
        <v>0.25925925925925924</v>
      </c>
      <c r="J258" s="99">
        <f>L258/$N$257</f>
        <v>0.16666666666666666</v>
      </c>
      <c r="K258" s="96">
        <v>7</v>
      </c>
      <c r="L258" s="98">
        <v>5</v>
      </c>
      <c r="M258" s="96"/>
      <c r="N258" s="96"/>
      <c r="O258" s="47"/>
    </row>
    <row r="259" spans="1:15" ht="12.75" hidden="1" outlineLevel="1">
      <c r="A259" s="90"/>
      <c r="B259" s="90"/>
      <c r="C259" s="147" t="s">
        <v>1574</v>
      </c>
      <c r="D259" s="147" t="s">
        <v>1583</v>
      </c>
      <c r="E259" s="189">
        <f>(J259-I259)</f>
        <v>0.1962962962962963</v>
      </c>
      <c r="F259" s="90"/>
      <c r="G259" s="90"/>
      <c r="H259" s="96" t="s">
        <v>171</v>
      </c>
      <c r="I259" s="99">
        <f>K259/$M$257</f>
        <v>0.37037037037037035</v>
      </c>
      <c r="J259" s="99">
        <f>L259/$N$257</f>
        <v>0.5666666666666667</v>
      </c>
      <c r="K259" s="96">
        <v>10</v>
      </c>
      <c r="L259" s="96">
        <v>17</v>
      </c>
      <c r="M259" s="96"/>
      <c r="N259" s="96"/>
      <c r="O259" s="47"/>
    </row>
    <row r="260" spans="1:15" ht="12.75" hidden="1" outlineLevel="1">
      <c r="A260" s="90"/>
      <c r="B260" s="90"/>
      <c r="C260" s="147" t="s">
        <v>1575</v>
      </c>
      <c r="D260" s="147" t="s">
        <v>1577</v>
      </c>
      <c r="E260" s="189">
        <f>(J260-I260)</f>
        <v>-0.025925925925925908</v>
      </c>
      <c r="F260" s="90"/>
      <c r="G260" s="90"/>
      <c r="H260" s="96" t="s">
        <v>169</v>
      </c>
      <c r="I260" s="99">
        <f>K260/$M$257</f>
        <v>0.25925925925925924</v>
      </c>
      <c r="J260" s="99">
        <f>L260/$N$257</f>
        <v>0.23333333333333334</v>
      </c>
      <c r="K260" s="96">
        <v>7</v>
      </c>
      <c r="L260" s="98">
        <v>7</v>
      </c>
      <c r="M260" s="96"/>
      <c r="N260" s="96"/>
      <c r="O260" s="47"/>
    </row>
    <row r="261" spans="1:15" ht="12.75" collapsed="1">
      <c r="A261" s="90"/>
      <c r="B261" s="90"/>
      <c r="C261" s="90"/>
      <c r="D261" s="90"/>
      <c r="E261" s="90"/>
      <c r="F261" s="90"/>
      <c r="G261" s="90"/>
      <c r="H261" s="96"/>
      <c r="I261" s="99"/>
      <c r="J261" s="99"/>
      <c r="K261" s="96"/>
      <c r="L261" s="98"/>
      <c r="M261" s="96"/>
      <c r="N261" s="96"/>
      <c r="O261" s="47"/>
    </row>
    <row r="262" spans="1:15" s="120" customFormat="1" ht="15.75">
      <c r="A262" s="117">
        <v>7</v>
      </c>
      <c r="B262" s="119" t="s">
        <v>301</v>
      </c>
      <c r="C262" s="119"/>
      <c r="D262" s="119"/>
      <c r="E262" s="119"/>
      <c r="F262" s="119"/>
      <c r="G262" s="119"/>
      <c r="H262" s="114"/>
      <c r="I262" s="115"/>
      <c r="J262" s="115"/>
      <c r="K262" s="115"/>
      <c r="L262" s="116"/>
      <c r="M262" s="114"/>
      <c r="N262" s="115"/>
      <c r="O262" s="121"/>
    </row>
    <row r="263" spans="1:14" s="132" customFormat="1" ht="12.75" hidden="1" outlineLevel="1">
      <c r="A263" s="127"/>
      <c r="B263" s="126" t="s">
        <v>324</v>
      </c>
      <c r="C263" s="126" t="s">
        <v>189</v>
      </c>
      <c r="D263" s="142" t="s">
        <v>1588</v>
      </c>
      <c r="E263" s="126"/>
      <c r="F263" s="126"/>
      <c r="G263" s="126"/>
      <c r="H263" s="126"/>
      <c r="I263" s="126"/>
      <c r="J263" s="126"/>
      <c r="K263" s="126"/>
      <c r="L263" s="126"/>
      <c r="M263" s="126"/>
      <c r="N263" s="126"/>
    </row>
    <row r="264" spans="1:14" ht="12.75" hidden="1" outlineLevel="1">
      <c r="A264" s="90"/>
      <c r="B264" s="91" t="s">
        <v>140</v>
      </c>
      <c r="C264" s="90" t="s">
        <v>341</v>
      </c>
      <c r="D264" s="147" t="s">
        <v>161</v>
      </c>
      <c r="E264" s="90"/>
      <c r="F264" s="90"/>
      <c r="G264" s="90"/>
      <c r="H264" s="90"/>
      <c r="I264" s="90"/>
      <c r="J264" s="90"/>
      <c r="K264" s="90"/>
      <c r="L264" s="90"/>
      <c r="M264" s="90"/>
      <c r="N264" s="90"/>
    </row>
    <row r="265" spans="1:14" ht="12.75" hidden="1" outlineLevel="1">
      <c r="A265" s="90"/>
      <c r="B265" s="91" t="s">
        <v>332</v>
      </c>
      <c r="C265" s="90" t="s">
        <v>436</v>
      </c>
      <c r="D265" s="147" t="s">
        <v>161</v>
      </c>
      <c r="E265" s="90"/>
      <c r="F265" s="90"/>
      <c r="G265" s="90"/>
      <c r="H265" s="90"/>
      <c r="I265" s="90"/>
      <c r="J265" s="90"/>
      <c r="K265" s="90"/>
      <c r="L265" s="90"/>
      <c r="M265" s="90"/>
      <c r="N265" s="90"/>
    </row>
    <row r="266" spans="1:14" ht="12.75" hidden="1" outlineLevel="1">
      <c r="A266" s="90"/>
      <c r="B266" s="91" t="s">
        <v>332</v>
      </c>
      <c r="C266" s="90" t="s">
        <v>286</v>
      </c>
      <c r="D266" s="147" t="s">
        <v>161</v>
      </c>
      <c r="E266" s="90"/>
      <c r="F266" s="90"/>
      <c r="G266" s="90"/>
      <c r="H266" s="90"/>
      <c r="I266" s="90"/>
      <c r="J266" s="90"/>
      <c r="K266" s="90"/>
      <c r="L266" s="90"/>
      <c r="M266" s="90"/>
      <c r="N266" s="90"/>
    </row>
    <row r="267" spans="1:14" ht="12.75" hidden="1" outlineLevel="1">
      <c r="A267" s="90"/>
      <c r="B267" s="91" t="s">
        <v>141</v>
      </c>
      <c r="C267" s="90" t="s">
        <v>445</v>
      </c>
      <c r="D267" s="147" t="s">
        <v>161</v>
      </c>
      <c r="E267" s="90"/>
      <c r="F267" s="90"/>
      <c r="G267" s="90"/>
      <c r="H267" s="90"/>
      <c r="I267" s="90"/>
      <c r="J267" s="90"/>
      <c r="K267" s="90"/>
      <c r="L267" s="90"/>
      <c r="M267" s="90"/>
      <c r="N267" s="90"/>
    </row>
    <row r="268" spans="1:14" ht="12.75" hidden="1" outlineLevel="1">
      <c r="A268" s="90"/>
      <c r="B268" s="91" t="s">
        <v>146</v>
      </c>
      <c r="C268" s="90" t="s">
        <v>349</v>
      </c>
      <c r="D268" s="147" t="s">
        <v>161</v>
      </c>
      <c r="E268" s="90"/>
      <c r="F268" s="90"/>
      <c r="G268" s="90"/>
      <c r="H268" s="90"/>
      <c r="I268" s="90"/>
      <c r="J268" s="90"/>
      <c r="K268" s="90"/>
      <c r="L268" s="90"/>
      <c r="M268" s="90"/>
      <c r="N268" s="90"/>
    </row>
    <row r="269" spans="1:14" ht="12.75" hidden="1" outlineLevel="1">
      <c r="A269" s="90"/>
      <c r="B269" s="91" t="s">
        <v>146</v>
      </c>
      <c r="C269" s="90" t="s">
        <v>550</v>
      </c>
      <c r="D269" s="147" t="s">
        <v>161</v>
      </c>
      <c r="E269" s="90"/>
      <c r="F269" s="90"/>
      <c r="G269" s="90"/>
      <c r="H269" s="90"/>
      <c r="I269" s="90"/>
      <c r="J269" s="90"/>
      <c r="K269" s="90"/>
      <c r="L269" s="90"/>
      <c r="M269" s="90"/>
      <c r="N269" s="90"/>
    </row>
    <row r="270" spans="1:14" ht="12.75" hidden="1" outlineLevel="1">
      <c r="A270" s="90"/>
      <c r="B270" s="91" t="s">
        <v>142</v>
      </c>
      <c r="C270" s="90" t="s">
        <v>343</v>
      </c>
      <c r="D270" s="147" t="s">
        <v>161</v>
      </c>
      <c r="E270" s="90"/>
      <c r="F270" s="90"/>
      <c r="G270" s="90"/>
      <c r="H270" s="90"/>
      <c r="I270" s="90"/>
      <c r="J270" s="90"/>
      <c r="K270" s="90"/>
      <c r="L270" s="90"/>
      <c r="M270" s="90"/>
      <c r="N270" s="90"/>
    </row>
    <row r="271" spans="1:14" ht="12.75" hidden="1" outlineLevel="1">
      <c r="A271" s="90"/>
      <c r="B271" s="91" t="s">
        <v>153</v>
      </c>
      <c r="C271" s="90" t="s">
        <v>444</v>
      </c>
      <c r="D271" s="147" t="s">
        <v>161</v>
      </c>
      <c r="E271" s="90"/>
      <c r="F271" s="90"/>
      <c r="G271" s="90"/>
      <c r="H271" s="90"/>
      <c r="I271" s="90"/>
      <c r="J271" s="90"/>
      <c r="K271" s="90"/>
      <c r="L271" s="90"/>
      <c r="M271" s="90"/>
      <c r="N271" s="90"/>
    </row>
    <row r="272" spans="1:14" ht="12.75" hidden="1" outlineLevel="1">
      <c r="A272" s="90"/>
      <c r="B272" s="91" t="s">
        <v>153</v>
      </c>
      <c r="C272" s="90" t="s">
        <v>446</v>
      </c>
      <c r="D272" s="147" t="s">
        <v>161</v>
      </c>
      <c r="E272" s="90"/>
      <c r="F272" s="90"/>
      <c r="G272" s="90"/>
      <c r="H272" s="90"/>
      <c r="I272" s="90"/>
      <c r="J272" s="90"/>
      <c r="K272" s="90"/>
      <c r="L272" s="90"/>
      <c r="M272" s="90"/>
      <c r="N272" s="90"/>
    </row>
    <row r="273" spans="1:14" ht="12.75" hidden="1" outlineLevel="1">
      <c r="A273" s="90"/>
      <c r="B273" s="91" t="s">
        <v>148</v>
      </c>
      <c r="C273" s="90" t="s">
        <v>552</v>
      </c>
      <c r="D273" s="147" t="s">
        <v>161</v>
      </c>
      <c r="E273" s="90"/>
      <c r="F273" s="90"/>
      <c r="G273" s="90"/>
      <c r="H273" s="90"/>
      <c r="I273" s="90"/>
      <c r="J273" s="90"/>
      <c r="K273" s="90"/>
      <c r="L273" s="90"/>
      <c r="M273" s="90"/>
      <c r="N273" s="90"/>
    </row>
    <row r="274" spans="1:14" ht="12.75" hidden="1" outlineLevel="1">
      <c r="A274" s="90"/>
      <c r="B274" s="91" t="s">
        <v>154</v>
      </c>
      <c r="C274" s="90" t="s">
        <v>352</v>
      </c>
      <c r="D274" s="147" t="s">
        <v>161</v>
      </c>
      <c r="E274" s="90"/>
      <c r="F274" s="90"/>
      <c r="G274" s="90"/>
      <c r="H274" s="90"/>
      <c r="I274" s="90"/>
      <c r="J274" s="90"/>
      <c r="K274" s="90"/>
      <c r="L274" s="90"/>
      <c r="M274" s="90"/>
      <c r="N274" s="90"/>
    </row>
    <row r="275" spans="1:14" ht="12.75" hidden="1" outlineLevel="1">
      <c r="A275" s="90"/>
      <c r="B275" s="91" t="s">
        <v>336</v>
      </c>
      <c r="C275" s="90" t="s">
        <v>281</v>
      </c>
      <c r="D275" s="200" t="s">
        <v>161</v>
      </c>
      <c r="E275" s="90"/>
      <c r="F275" s="90"/>
      <c r="G275" s="90"/>
      <c r="H275" s="90"/>
      <c r="I275" s="90"/>
      <c r="J275" s="90"/>
      <c r="K275" s="90"/>
      <c r="L275" s="90"/>
      <c r="M275" s="90"/>
      <c r="N275" s="90"/>
    </row>
    <row r="276" spans="1:14" ht="12.75" hidden="1" outlineLevel="1">
      <c r="A276" s="90"/>
      <c r="B276" s="91" t="s">
        <v>334</v>
      </c>
      <c r="C276" s="90" t="s">
        <v>350</v>
      </c>
      <c r="D276" s="147" t="s">
        <v>161</v>
      </c>
      <c r="E276" s="90"/>
      <c r="F276" s="90"/>
      <c r="G276" s="90"/>
      <c r="H276" s="96"/>
      <c r="I276" s="97"/>
      <c r="J276" s="97"/>
      <c r="K276" s="97"/>
      <c r="L276" s="98"/>
      <c r="M276" s="96"/>
      <c r="N276" s="97"/>
    </row>
    <row r="277" spans="1:14" ht="12.75" hidden="1" outlineLevel="1">
      <c r="A277" s="90"/>
      <c r="B277" s="91" t="s">
        <v>145</v>
      </c>
      <c r="C277" s="90" t="s">
        <v>439</v>
      </c>
      <c r="D277" s="147" t="s">
        <v>161</v>
      </c>
      <c r="E277" s="90"/>
      <c r="F277" s="90"/>
      <c r="G277" s="90"/>
      <c r="H277" s="96"/>
      <c r="I277" s="99"/>
      <c r="J277" s="99"/>
      <c r="K277" s="96"/>
      <c r="L277" s="98"/>
      <c r="M277" s="96"/>
      <c r="N277" s="96"/>
    </row>
    <row r="278" spans="1:14" ht="12.75" hidden="1" outlineLevel="1">
      <c r="A278" s="90"/>
      <c r="B278" s="91" t="s">
        <v>149</v>
      </c>
      <c r="C278" s="90" t="s">
        <v>277</v>
      </c>
      <c r="D278" s="147" t="s">
        <v>161</v>
      </c>
      <c r="E278" s="90"/>
      <c r="F278" s="90"/>
      <c r="G278" s="90"/>
      <c r="H278" s="96"/>
      <c r="I278" s="99"/>
      <c r="J278" s="99"/>
      <c r="K278" s="96"/>
      <c r="L278" s="98"/>
      <c r="M278" s="96"/>
      <c r="N278" s="96"/>
    </row>
    <row r="279" spans="1:14" ht="12.75" hidden="1" outlineLevel="1">
      <c r="A279" s="90"/>
      <c r="B279" s="91" t="s">
        <v>150</v>
      </c>
      <c r="C279" s="90" t="s">
        <v>278</v>
      </c>
      <c r="D279" s="147" t="s">
        <v>161</v>
      </c>
      <c r="E279" s="90"/>
      <c r="F279" s="90"/>
      <c r="G279" s="90"/>
      <c r="H279" s="96"/>
      <c r="I279" s="99"/>
      <c r="J279" s="99"/>
      <c r="K279" s="96"/>
      <c r="L279" s="96"/>
      <c r="M279" s="96"/>
      <c r="N279" s="96"/>
    </row>
    <row r="280" spans="1:14" ht="12.75" hidden="1" outlineLevel="1">
      <c r="A280" s="90"/>
      <c r="B280" s="91" t="s">
        <v>155</v>
      </c>
      <c r="C280" s="90" t="s">
        <v>351</v>
      </c>
      <c r="D280" s="147" t="s">
        <v>161</v>
      </c>
      <c r="E280" s="90"/>
      <c r="F280" s="90"/>
      <c r="G280" s="90"/>
      <c r="H280" s="96"/>
      <c r="I280" s="99"/>
      <c r="J280" s="99"/>
      <c r="K280" s="96"/>
      <c r="L280" s="98"/>
      <c r="M280" s="96"/>
      <c r="N280" s="96"/>
    </row>
    <row r="281" spans="1:14" ht="12.75" hidden="1" outlineLevel="1">
      <c r="A281" s="90"/>
      <c r="B281" s="91" t="s">
        <v>155</v>
      </c>
      <c r="C281" s="90" t="s">
        <v>279</v>
      </c>
      <c r="D281" s="147" t="s">
        <v>161</v>
      </c>
      <c r="E281" s="90"/>
      <c r="F281" s="90"/>
      <c r="G281" s="90"/>
      <c r="H281" s="96"/>
      <c r="I281" s="99"/>
      <c r="J281" s="99"/>
      <c r="K281" s="96"/>
      <c r="L281" s="98"/>
      <c r="M281" s="96"/>
      <c r="N281" s="96"/>
    </row>
    <row r="282" spans="1:14" ht="12.75" hidden="1" outlineLevel="1">
      <c r="A282" s="90"/>
      <c r="B282" s="91" t="s">
        <v>151</v>
      </c>
      <c r="C282" s="90" t="s">
        <v>282</v>
      </c>
      <c r="D282" s="147" t="s">
        <v>161</v>
      </c>
      <c r="E282" s="90"/>
      <c r="F282" s="90"/>
      <c r="G282" s="90"/>
      <c r="H282" s="90"/>
      <c r="I282" s="90"/>
      <c r="J282" s="90"/>
      <c r="K282" s="90"/>
      <c r="L282" s="90"/>
      <c r="M282" s="90"/>
      <c r="N282" s="90"/>
    </row>
    <row r="283" spans="1:14" ht="12.75" hidden="1" outlineLevel="1">
      <c r="A283" s="90"/>
      <c r="B283" s="91" t="s">
        <v>337</v>
      </c>
      <c r="C283" s="90" t="s">
        <v>553</v>
      </c>
      <c r="D283" s="147" t="s">
        <v>161</v>
      </c>
      <c r="E283" s="90"/>
      <c r="F283" s="90"/>
      <c r="G283" s="90"/>
      <c r="H283" s="90"/>
      <c r="I283" s="90"/>
      <c r="J283" s="90"/>
      <c r="K283" s="90"/>
      <c r="L283" s="90"/>
      <c r="M283" s="90"/>
      <c r="N283" s="90"/>
    </row>
    <row r="284" spans="1:14" ht="12.75" hidden="1" outlineLevel="1">
      <c r="A284" s="90"/>
      <c r="B284" s="91" t="s">
        <v>332</v>
      </c>
      <c r="C284" s="90" t="s">
        <v>554</v>
      </c>
      <c r="D284" s="147" t="s">
        <v>181</v>
      </c>
      <c r="E284" s="90" t="s">
        <v>1642</v>
      </c>
      <c r="F284" s="90"/>
      <c r="G284" s="90"/>
      <c r="H284" s="90"/>
      <c r="I284" s="90"/>
      <c r="J284" s="90"/>
      <c r="K284" s="90"/>
      <c r="L284" s="90"/>
      <c r="M284" s="90"/>
      <c r="N284" s="90"/>
    </row>
    <row r="285" spans="1:14" ht="12.75" hidden="1" outlineLevel="1">
      <c r="A285" s="90"/>
      <c r="B285" s="91" t="s">
        <v>143</v>
      </c>
      <c r="C285" s="90" t="s">
        <v>437</v>
      </c>
      <c r="D285" s="147" t="s">
        <v>181</v>
      </c>
      <c r="E285" s="90"/>
      <c r="F285" s="90"/>
      <c r="G285" s="90"/>
      <c r="H285" s="90"/>
      <c r="I285" s="90"/>
      <c r="J285" s="90"/>
      <c r="K285" s="90"/>
      <c r="L285" s="90"/>
      <c r="M285" s="90"/>
      <c r="N285" s="90"/>
    </row>
    <row r="286" spans="1:14" ht="12.75" hidden="1" outlineLevel="1">
      <c r="A286" s="90"/>
      <c r="B286" s="91" t="s">
        <v>143</v>
      </c>
      <c r="C286" s="90" t="s">
        <v>287</v>
      </c>
      <c r="D286" s="147" t="s">
        <v>181</v>
      </c>
      <c r="E286" s="90"/>
      <c r="F286" s="90"/>
      <c r="G286" s="90"/>
      <c r="H286" s="90"/>
      <c r="I286" s="90"/>
      <c r="J286" s="90"/>
      <c r="K286" s="90"/>
      <c r="L286" s="90"/>
      <c r="M286" s="90"/>
      <c r="N286" s="90"/>
    </row>
    <row r="287" spans="1:14" ht="12.75" hidden="1" outlineLevel="1">
      <c r="A287" s="90"/>
      <c r="B287" s="91" t="s">
        <v>144</v>
      </c>
      <c r="C287" s="90" t="s">
        <v>438</v>
      </c>
      <c r="D287" s="147" t="s">
        <v>181</v>
      </c>
      <c r="E287" s="90"/>
      <c r="F287" s="90"/>
      <c r="G287" s="90"/>
      <c r="H287" s="90"/>
      <c r="I287" s="90"/>
      <c r="J287" s="90"/>
      <c r="K287" s="90"/>
      <c r="L287" s="90"/>
      <c r="M287" s="90"/>
      <c r="N287" s="90"/>
    </row>
    <row r="288" spans="1:14" ht="12.75" hidden="1" outlineLevel="1">
      <c r="A288" s="90"/>
      <c r="B288" s="91" t="s">
        <v>139</v>
      </c>
      <c r="C288" s="90" t="s">
        <v>551</v>
      </c>
      <c r="D288" s="147" t="s">
        <v>406</v>
      </c>
      <c r="E288" s="90"/>
      <c r="F288" s="90"/>
      <c r="G288" s="90"/>
      <c r="H288" s="90"/>
      <c r="I288" s="90"/>
      <c r="J288" s="90"/>
      <c r="K288" s="90"/>
      <c r="L288" s="90"/>
      <c r="M288" s="90"/>
      <c r="N288" s="90"/>
    </row>
    <row r="289" spans="1:14" ht="12.75" hidden="1" outlineLevel="1">
      <c r="A289" s="90"/>
      <c r="B289" s="91" t="s">
        <v>154</v>
      </c>
      <c r="C289" s="90" t="s">
        <v>342</v>
      </c>
      <c r="D289" s="147" t="s">
        <v>406</v>
      </c>
      <c r="E289" s="90"/>
      <c r="F289" s="90"/>
      <c r="G289" s="90"/>
      <c r="H289" s="90"/>
      <c r="I289" s="90"/>
      <c r="J289" s="90"/>
      <c r="K289" s="90"/>
      <c r="L289" s="90"/>
      <c r="M289" s="90"/>
      <c r="N289" s="90"/>
    </row>
    <row r="290" spans="1:14" ht="12.75" hidden="1" outlineLevel="1">
      <c r="A290" s="90"/>
      <c r="B290" s="91" t="s">
        <v>335</v>
      </c>
      <c r="C290" s="90" t="s">
        <v>283</v>
      </c>
      <c r="D290" s="147" t="s">
        <v>406</v>
      </c>
      <c r="E290" s="90"/>
      <c r="F290" s="90"/>
      <c r="G290" s="90"/>
      <c r="H290" s="90"/>
      <c r="I290" s="90"/>
      <c r="J290" s="90"/>
      <c r="K290" s="90"/>
      <c r="L290" s="90"/>
      <c r="M290" s="90"/>
      <c r="N290" s="90"/>
    </row>
    <row r="291" spans="1:14" ht="12.75" hidden="1" outlineLevel="1">
      <c r="A291" s="90"/>
      <c r="B291" s="91" t="s">
        <v>152</v>
      </c>
      <c r="C291" s="90" t="s">
        <v>291</v>
      </c>
      <c r="D291" s="147" t="s">
        <v>406</v>
      </c>
      <c r="E291" s="90"/>
      <c r="F291" s="90"/>
      <c r="G291" s="90"/>
      <c r="H291" s="90"/>
      <c r="I291" s="90"/>
      <c r="J291" s="90"/>
      <c r="K291" s="90"/>
      <c r="L291" s="90"/>
      <c r="M291" s="90"/>
      <c r="N291" s="90"/>
    </row>
    <row r="292" spans="1:14" ht="12.75" hidden="1" outlineLevel="1">
      <c r="A292" s="90"/>
      <c r="B292" s="91" t="s">
        <v>147</v>
      </c>
      <c r="C292" s="90" t="s">
        <v>353</v>
      </c>
      <c r="D292" s="147" t="s">
        <v>406</v>
      </c>
      <c r="E292" s="90"/>
      <c r="F292" s="90"/>
      <c r="G292" s="90"/>
      <c r="H292" s="90"/>
      <c r="I292" s="90"/>
      <c r="J292" s="90"/>
      <c r="K292" s="90"/>
      <c r="L292" s="90"/>
      <c r="M292" s="90"/>
      <c r="N292" s="90"/>
    </row>
    <row r="293" spans="1:14" ht="12.75" hidden="1" outlineLevel="1">
      <c r="A293" s="90"/>
      <c r="B293" s="91" t="s">
        <v>156</v>
      </c>
      <c r="C293" s="90" t="s">
        <v>288</v>
      </c>
      <c r="D293" s="147" t="s">
        <v>406</v>
      </c>
      <c r="E293" s="90"/>
      <c r="F293" s="90"/>
      <c r="G293" s="90"/>
      <c r="H293" s="90"/>
      <c r="I293" s="90"/>
      <c r="J293" s="90"/>
      <c r="K293" s="90"/>
      <c r="L293" s="90"/>
      <c r="M293" s="90"/>
      <c r="N293" s="90"/>
    </row>
    <row r="294" spans="1:14" ht="12.75" collapsed="1">
      <c r="A294" s="90"/>
      <c r="B294" s="90"/>
      <c r="C294" s="90"/>
      <c r="D294" s="90"/>
      <c r="E294" s="90"/>
      <c r="F294" s="90"/>
      <c r="G294" s="90"/>
      <c r="H294" s="96"/>
      <c r="I294" s="97"/>
      <c r="J294" s="97"/>
      <c r="K294" s="97"/>
      <c r="L294" s="98"/>
      <c r="M294" s="96"/>
      <c r="N294" s="97"/>
    </row>
    <row r="295" spans="1:14" s="108" customFormat="1" ht="12.75">
      <c r="A295" s="107"/>
      <c r="B295" s="107" t="str">
        <f>CONCATENATE($D283," = ",COUNTIF(D264:D293,$D283),TEXT((COUNTIF(D264:D293,"in person")/ROWS(D264:D293)),"   (#%)"))</f>
        <v>In person = 20   (67%)</v>
      </c>
      <c r="C295" s="107"/>
      <c r="D295" s="107"/>
      <c r="E295" s="107"/>
      <c r="F295" s="107"/>
      <c r="G295" s="107"/>
      <c r="H295" s="133"/>
      <c r="I295" s="135"/>
      <c r="J295" s="135"/>
      <c r="K295" s="133"/>
      <c r="L295" s="138"/>
      <c r="M295" s="133"/>
      <c r="N295" s="133"/>
    </row>
    <row r="296" spans="1:14" s="108" customFormat="1" ht="12.75">
      <c r="A296" s="107"/>
      <c r="B296" s="107" t="str">
        <f>CONCATENATE($D287," = ",COUNTIF(D264:D293,$D287),TEXT((COUNTIF(D264:D293,"conference call")/ROWS(D264:D293)),"   (#%)"))</f>
        <v>Conference call = 4   (13%)</v>
      </c>
      <c r="C296" s="107"/>
      <c r="D296" s="107"/>
      <c r="E296" s="107"/>
      <c r="F296" s="107"/>
      <c r="G296" s="107"/>
      <c r="H296" s="133"/>
      <c r="I296" s="135"/>
      <c r="J296" s="135"/>
      <c r="K296" s="133"/>
      <c r="L296" s="138"/>
      <c r="M296" s="133"/>
      <c r="N296" s="133"/>
    </row>
    <row r="297" spans="1:14" s="108" customFormat="1" ht="12.75">
      <c r="A297" s="107"/>
      <c r="B297" s="107" t="str">
        <f>CONCATENATE("Equally person &amp; phone = ",COUNTIF(D288:D293,$D293),TEXT((COUNTIF(D264:D293,"equally by person and phone")/ROWS(D264:D293)),"   (#%)"))</f>
        <v>Equally person &amp; phone = 6   (20%)</v>
      </c>
      <c r="C297" s="107"/>
      <c r="D297" s="107"/>
      <c r="E297" s="107"/>
      <c r="F297" s="107"/>
      <c r="G297" s="107"/>
      <c r="H297" s="133"/>
      <c r="I297" s="135"/>
      <c r="J297" s="135"/>
      <c r="K297" s="133"/>
      <c r="L297" s="133"/>
      <c r="M297" s="133"/>
      <c r="N297" s="133"/>
    </row>
    <row r="298" spans="1:14" ht="12.75">
      <c r="A298" s="90"/>
      <c r="B298" s="90"/>
      <c r="C298" s="90"/>
      <c r="D298" s="90"/>
      <c r="E298" s="90"/>
      <c r="F298" s="90"/>
      <c r="G298" s="90"/>
      <c r="H298" s="96"/>
      <c r="I298" s="99"/>
      <c r="J298" s="99"/>
      <c r="K298" s="96"/>
      <c r="L298" s="98"/>
      <c r="M298" s="96"/>
      <c r="N298" s="96"/>
    </row>
    <row r="299" spans="1:14" ht="12.75">
      <c r="A299" s="90"/>
      <c r="B299" s="90"/>
      <c r="C299" s="139" t="s">
        <v>1323</v>
      </c>
      <c r="D299" s="90"/>
      <c r="E299" s="90"/>
      <c r="F299" s="90"/>
      <c r="G299" s="90"/>
      <c r="H299" s="96"/>
      <c r="I299" s="99"/>
      <c r="J299" s="99"/>
      <c r="K299" s="96"/>
      <c r="L299" s="98"/>
      <c r="M299" s="96"/>
      <c r="N299" s="96"/>
    </row>
    <row r="300" spans="1:14" ht="12.75">
      <c r="A300" s="90"/>
      <c r="B300" s="90"/>
      <c r="C300" s="90" t="s">
        <v>4</v>
      </c>
      <c r="D300" s="90"/>
      <c r="E300" s="90"/>
      <c r="F300" s="90"/>
      <c r="G300" s="90"/>
      <c r="H300" s="90"/>
      <c r="I300" s="90"/>
      <c r="J300" s="90"/>
      <c r="K300" s="90"/>
      <c r="L300" s="90"/>
      <c r="M300" s="90"/>
      <c r="N300" s="90"/>
    </row>
    <row r="301" spans="1:14" ht="12.75">
      <c r="A301" s="90"/>
      <c r="B301" s="90"/>
      <c r="C301" s="90" t="s">
        <v>5</v>
      </c>
      <c r="D301" s="90"/>
      <c r="E301" s="90"/>
      <c r="F301" s="90"/>
      <c r="G301" s="90"/>
      <c r="H301" s="90"/>
      <c r="I301" s="90"/>
      <c r="J301" s="90"/>
      <c r="K301" s="90"/>
      <c r="L301" s="90"/>
      <c r="M301" s="90"/>
      <c r="N301" s="90"/>
    </row>
    <row r="302" spans="1:14" ht="12.75">
      <c r="A302" s="90"/>
      <c r="B302" s="90"/>
      <c r="C302" s="90" t="s">
        <v>6</v>
      </c>
      <c r="D302" s="90"/>
      <c r="E302" s="90"/>
      <c r="F302" s="90"/>
      <c r="G302" s="90"/>
      <c r="H302" s="90"/>
      <c r="I302" s="90"/>
      <c r="J302" s="90"/>
      <c r="K302" s="90"/>
      <c r="L302" s="90"/>
      <c r="M302" s="90"/>
      <c r="N302" s="90"/>
    </row>
    <row r="303" spans="1:14" ht="12.75" hidden="1" outlineLevel="1">
      <c r="A303" s="90"/>
      <c r="B303" s="90"/>
      <c r="C303" s="90"/>
      <c r="D303" s="90"/>
      <c r="E303" s="90"/>
      <c r="F303" s="90"/>
      <c r="G303" s="90"/>
      <c r="H303" s="90"/>
      <c r="I303" s="90"/>
      <c r="J303" s="90"/>
      <c r="K303" s="90"/>
      <c r="L303" s="90"/>
      <c r="M303" s="90"/>
      <c r="N303" s="90"/>
    </row>
    <row r="304" spans="1:14" ht="12.75" hidden="1" outlineLevel="1">
      <c r="A304" s="90"/>
      <c r="B304" s="90"/>
      <c r="C304" s="106">
        <v>2011</v>
      </c>
      <c r="D304" s="106">
        <v>2014</v>
      </c>
      <c r="E304" s="278" t="s">
        <v>1322</v>
      </c>
      <c r="F304" s="278"/>
      <c r="G304" s="90"/>
      <c r="H304" s="96"/>
      <c r="I304" s="97">
        <v>20.11</v>
      </c>
      <c r="J304" s="97">
        <v>20.14</v>
      </c>
      <c r="K304" s="97" t="s">
        <v>1569</v>
      </c>
      <c r="L304" s="98" t="s">
        <v>1511</v>
      </c>
      <c r="M304" s="96" t="s">
        <v>1570</v>
      </c>
      <c r="N304" s="97" t="s">
        <v>1571</v>
      </c>
    </row>
    <row r="305" spans="1:14" ht="12.75" hidden="1" outlineLevel="1">
      <c r="A305" s="90"/>
      <c r="B305" s="90"/>
      <c r="C305" s="147" t="s">
        <v>1527</v>
      </c>
      <c r="D305" s="147" t="s">
        <v>1584</v>
      </c>
      <c r="E305" s="189">
        <f>(J305-I305)</f>
        <v>-0.14814814814814814</v>
      </c>
      <c r="F305" s="147"/>
      <c r="G305" s="90"/>
      <c r="H305" s="96" t="s">
        <v>161</v>
      </c>
      <c r="I305" s="99">
        <f>K305/$M$257</f>
        <v>0.8148148148148148</v>
      </c>
      <c r="J305" s="99">
        <f>L305/$N$257</f>
        <v>0.6666666666666666</v>
      </c>
      <c r="K305" s="96">
        <v>22</v>
      </c>
      <c r="L305" s="98">
        <v>20</v>
      </c>
      <c r="M305" s="96">
        <v>27</v>
      </c>
      <c r="N305" s="96">
        <v>30</v>
      </c>
    </row>
    <row r="306" spans="1:14" ht="12.75" hidden="1" outlineLevel="1">
      <c r="A306" s="90"/>
      <c r="B306" s="90"/>
      <c r="C306" s="147" t="s">
        <v>1459</v>
      </c>
      <c r="D306" s="147" t="s">
        <v>1461</v>
      </c>
      <c r="E306" s="189">
        <f>(J306-I306)</f>
        <v>0.022222222222222227</v>
      </c>
      <c r="F306" s="147"/>
      <c r="G306" s="90"/>
      <c r="H306" s="96" t="s">
        <v>181</v>
      </c>
      <c r="I306" s="99">
        <f>K306/$M$257</f>
        <v>0.1111111111111111</v>
      </c>
      <c r="J306" s="99">
        <f>L306/$N$257</f>
        <v>0.13333333333333333</v>
      </c>
      <c r="K306" s="96">
        <v>3</v>
      </c>
      <c r="L306" s="98">
        <v>4</v>
      </c>
      <c r="M306" s="96"/>
      <c r="N306" s="96"/>
    </row>
    <row r="307" spans="1:14" ht="12.75" hidden="1" outlineLevel="1">
      <c r="A307" s="90"/>
      <c r="B307" s="90"/>
      <c r="C307" s="147" t="s">
        <v>1460</v>
      </c>
      <c r="D307" s="147" t="s">
        <v>1585</v>
      </c>
      <c r="E307" s="189">
        <f>(J307-I307)</f>
        <v>0.12592592592592594</v>
      </c>
      <c r="F307" s="147"/>
      <c r="G307" s="90"/>
      <c r="H307" s="96" t="s">
        <v>1526</v>
      </c>
      <c r="I307" s="99">
        <f>K307/$M$257</f>
        <v>0.07407407407407407</v>
      </c>
      <c r="J307" s="99">
        <f>L307/$N$257</f>
        <v>0.2</v>
      </c>
      <c r="K307" s="96">
        <v>2</v>
      </c>
      <c r="L307" s="96">
        <v>6</v>
      </c>
      <c r="M307" s="96"/>
      <c r="N307" s="96"/>
    </row>
    <row r="308" spans="1:14" ht="12.75" collapsed="1">
      <c r="A308" s="90"/>
      <c r="B308" s="90"/>
      <c r="C308" s="147"/>
      <c r="D308" s="90"/>
      <c r="E308" s="90"/>
      <c r="F308" s="90"/>
      <c r="G308" s="90"/>
      <c r="H308" s="96"/>
      <c r="I308" s="99"/>
      <c r="J308" s="99"/>
      <c r="K308" s="96"/>
      <c r="L308" s="98"/>
      <c r="M308" s="96"/>
      <c r="N308" s="96"/>
    </row>
    <row r="309" spans="1:14" s="124" customFormat="1" ht="34.5" customHeight="1">
      <c r="A309" s="122">
        <v>8</v>
      </c>
      <c r="B309" s="277" t="s">
        <v>42</v>
      </c>
      <c r="C309" s="277"/>
      <c r="D309" s="277"/>
      <c r="E309" s="277"/>
      <c r="F309" s="277"/>
      <c r="G309" s="277"/>
      <c r="H309" s="123"/>
      <c r="I309" s="123"/>
      <c r="J309" s="123"/>
      <c r="K309" s="123"/>
      <c r="L309" s="123"/>
      <c r="M309" s="123"/>
      <c r="N309" s="123"/>
    </row>
    <row r="310" spans="1:14" s="132" customFormat="1" ht="12.75" hidden="1" outlineLevel="1">
      <c r="A310" s="127"/>
      <c r="B310" s="126" t="s">
        <v>324</v>
      </c>
      <c r="C310" s="126" t="s">
        <v>189</v>
      </c>
      <c r="D310" s="142" t="s">
        <v>1589</v>
      </c>
      <c r="E310" s="126"/>
      <c r="F310" s="126"/>
      <c r="G310" s="126"/>
      <c r="H310" s="126"/>
      <c r="I310" s="126"/>
      <c r="J310" s="126"/>
      <c r="K310" s="126"/>
      <c r="L310" s="126"/>
      <c r="M310" s="126"/>
      <c r="N310" s="126"/>
    </row>
    <row r="311" spans="1:14" ht="12.75" hidden="1" outlineLevel="1">
      <c r="A311" s="90"/>
      <c r="B311" s="91" t="s">
        <v>142</v>
      </c>
      <c r="C311" s="90" t="s">
        <v>343</v>
      </c>
      <c r="D311" s="147" t="s">
        <v>172</v>
      </c>
      <c r="E311" s="90"/>
      <c r="F311" s="90"/>
      <c r="G311" s="90"/>
      <c r="H311" s="90"/>
      <c r="I311" s="90"/>
      <c r="J311" s="90"/>
      <c r="K311" s="90"/>
      <c r="L311" s="90"/>
      <c r="M311" s="90"/>
      <c r="N311" s="90"/>
    </row>
    <row r="312" spans="1:14" ht="12.75" hidden="1" outlineLevel="1">
      <c r="A312" s="90"/>
      <c r="B312" s="91" t="s">
        <v>139</v>
      </c>
      <c r="C312" s="90" t="s">
        <v>551</v>
      </c>
      <c r="D312" s="147" t="s">
        <v>172</v>
      </c>
      <c r="E312" s="90"/>
      <c r="F312" s="90"/>
      <c r="G312" s="90"/>
      <c r="H312" s="90"/>
      <c r="I312" s="90"/>
      <c r="J312" s="90"/>
      <c r="K312" s="90"/>
      <c r="L312" s="90"/>
      <c r="M312" s="90"/>
      <c r="N312" s="90"/>
    </row>
    <row r="313" spans="1:14" ht="12.75" hidden="1" outlineLevel="1">
      <c r="A313" s="90"/>
      <c r="B313" s="91" t="s">
        <v>154</v>
      </c>
      <c r="C313" s="90" t="s">
        <v>352</v>
      </c>
      <c r="D313" s="147" t="s">
        <v>172</v>
      </c>
      <c r="E313" s="90"/>
      <c r="F313" s="90"/>
      <c r="G313" s="90"/>
      <c r="H313" s="90"/>
      <c r="I313" s="90"/>
      <c r="J313" s="90"/>
      <c r="K313" s="90"/>
      <c r="L313" s="90"/>
      <c r="M313" s="90"/>
      <c r="N313" s="90"/>
    </row>
    <row r="314" spans="1:14" ht="12.75" hidden="1" outlineLevel="1">
      <c r="A314" s="90"/>
      <c r="B314" s="91" t="s">
        <v>332</v>
      </c>
      <c r="C314" s="90" t="s">
        <v>554</v>
      </c>
      <c r="D314" s="147" t="s">
        <v>162</v>
      </c>
      <c r="E314" s="90"/>
      <c r="F314" s="90"/>
      <c r="G314" s="90"/>
      <c r="H314" s="90"/>
      <c r="I314" s="90"/>
      <c r="J314" s="90"/>
      <c r="K314" s="90"/>
      <c r="L314" s="90"/>
      <c r="M314" s="90"/>
      <c r="N314" s="90"/>
    </row>
    <row r="315" spans="1:14" ht="12.75" hidden="1" outlineLevel="1">
      <c r="A315" s="90"/>
      <c r="B315" s="91" t="s">
        <v>332</v>
      </c>
      <c r="C315" s="90" t="s">
        <v>436</v>
      </c>
      <c r="D315" s="147" t="s">
        <v>162</v>
      </c>
      <c r="E315" s="90"/>
      <c r="F315" s="90"/>
      <c r="G315" s="90"/>
      <c r="H315" s="90"/>
      <c r="I315" s="90"/>
      <c r="J315" s="90"/>
      <c r="K315" s="90"/>
      <c r="L315" s="90"/>
      <c r="M315" s="90"/>
      <c r="N315" s="90"/>
    </row>
    <row r="316" spans="1:14" ht="12.75" hidden="1" outlineLevel="1">
      <c r="A316" s="90"/>
      <c r="B316" s="91" t="s">
        <v>332</v>
      </c>
      <c r="C316" s="90" t="s">
        <v>286</v>
      </c>
      <c r="D316" s="147" t="s">
        <v>162</v>
      </c>
      <c r="E316" s="90"/>
      <c r="F316" s="90"/>
      <c r="G316" s="90"/>
      <c r="H316" s="90"/>
      <c r="I316" s="90"/>
      <c r="J316" s="90"/>
      <c r="K316" s="90"/>
      <c r="L316" s="90"/>
      <c r="M316" s="90"/>
      <c r="N316" s="90"/>
    </row>
    <row r="317" spans="1:14" ht="12.75" hidden="1" outlineLevel="1">
      <c r="A317" s="90"/>
      <c r="B317" s="91" t="s">
        <v>141</v>
      </c>
      <c r="C317" s="90" t="s">
        <v>445</v>
      </c>
      <c r="D317" s="147" t="s">
        <v>162</v>
      </c>
      <c r="E317" s="90"/>
      <c r="F317" s="90"/>
      <c r="G317" s="90"/>
      <c r="H317" s="90"/>
      <c r="I317" s="90"/>
      <c r="J317" s="90"/>
      <c r="K317" s="90"/>
      <c r="L317" s="90"/>
      <c r="M317" s="90"/>
      <c r="N317" s="90"/>
    </row>
    <row r="318" spans="1:14" ht="12.75" hidden="1" outlineLevel="1">
      <c r="A318" s="90"/>
      <c r="B318" s="91" t="s">
        <v>146</v>
      </c>
      <c r="C318" s="90" t="s">
        <v>349</v>
      </c>
      <c r="D318" s="147" t="s">
        <v>170</v>
      </c>
      <c r="E318" s="90"/>
      <c r="F318" s="90"/>
      <c r="G318" s="90"/>
      <c r="H318" s="90"/>
      <c r="I318" s="90"/>
      <c r="J318" s="90"/>
      <c r="K318" s="90"/>
      <c r="L318" s="90"/>
      <c r="M318" s="90"/>
      <c r="N318" s="90"/>
    </row>
    <row r="319" spans="1:14" ht="12.75" hidden="1" outlineLevel="1">
      <c r="A319" s="90"/>
      <c r="B319" s="91" t="s">
        <v>146</v>
      </c>
      <c r="C319" s="90" t="s">
        <v>550</v>
      </c>
      <c r="D319" s="147" t="s">
        <v>162</v>
      </c>
      <c r="E319" s="90"/>
      <c r="F319" s="90"/>
      <c r="G319" s="90"/>
      <c r="H319" s="90"/>
      <c r="I319" s="90"/>
      <c r="J319" s="90"/>
      <c r="K319" s="90"/>
      <c r="L319" s="90"/>
      <c r="M319" s="90"/>
      <c r="N319" s="90"/>
    </row>
    <row r="320" spans="1:14" ht="12.75" hidden="1" outlineLevel="1">
      <c r="A320" s="90"/>
      <c r="B320" s="91" t="s">
        <v>143</v>
      </c>
      <c r="C320" s="90" t="s">
        <v>437</v>
      </c>
      <c r="D320" s="147" t="s">
        <v>162</v>
      </c>
      <c r="E320" s="90"/>
      <c r="F320" s="90"/>
      <c r="G320" s="90"/>
      <c r="H320" s="90"/>
      <c r="I320" s="90"/>
      <c r="J320" s="90"/>
      <c r="K320" s="90"/>
      <c r="L320" s="90"/>
      <c r="M320" s="90"/>
      <c r="N320" s="90"/>
    </row>
    <row r="321" spans="1:14" ht="12.75" hidden="1" outlineLevel="1">
      <c r="A321" s="90"/>
      <c r="B321" s="91" t="s">
        <v>143</v>
      </c>
      <c r="C321" s="90" t="s">
        <v>287</v>
      </c>
      <c r="D321" s="147" t="s">
        <v>162</v>
      </c>
      <c r="E321" s="90"/>
      <c r="F321" s="90"/>
      <c r="G321" s="90"/>
      <c r="H321" s="96"/>
      <c r="I321" s="97"/>
      <c r="J321" s="97"/>
      <c r="K321" s="97"/>
      <c r="L321" s="98"/>
      <c r="M321" s="96"/>
      <c r="N321" s="97"/>
    </row>
    <row r="322" spans="1:14" ht="12.75" hidden="1" outlineLevel="1">
      <c r="A322" s="90"/>
      <c r="B322" s="91" t="s">
        <v>144</v>
      </c>
      <c r="C322" s="90" t="s">
        <v>438</v>
      </c>
      <c r="D322" s="147" t="s">
        <v>162</v>
      </c>
      <c r="E322" s="90"/>
      <c r="F322" s="90"/>
      <c r="G322" s="90"/>
      <c r="H322" s="96"/>
      <c r="I322" s="99"/>
      <c r="J322" s="99"/>
      <c r="K322" s="96"/>
      <c r="L322" s="98"/>
      <c r="M322" s="96"/>
      <c r="N322" s="96"/>
    </row>
    <row r="323" spans="1:14" ht="12.75" hidden="1" outlineLevel="1">
      <c r="A323" s="90"/>
      <c r="B323" s="91" t="s">
        <v>153</v>
      </c>
      <c r="C323" s="90" t="s">
        <v>444</v>
      </c>
      <c r="D323" s="147" t="s">
        <v>162</v>
      </c>
      <c r="E323" s="90"/>
      <c r="F323" s="90"/>
      <c r="G323" s="90"/>
      <c r="H323" s="96"/>
      <c r="I323" s="99"/>
      <c r="J323" s="99"/>
      <c r="K323" s="96"/>
      <c r="L323" s="98"/>
      <c r="M323" s="96"/>
      <c r="N323" s="96"/>
    </row>
    <row r="324" spans="1:14" ht="12.75" hidden="1" outlineLevel="1">
      <c r="A324" s="90"/>
      <c r="B324" s="91" t="s">
        <v>153</v>
      </c>
      <c r="C324" s="90" t="s">
        <v>446</v>
      </c>
      <c r="D324" s="147" t="s">
        <v>162</v>
      </c>
      <c r="E324" s="90"/>
      <c r="F324" s="90"/>
      <c r="G324" s="90"/>
      <c r="H324" s="96"/>
      <c r="I324" s="99"/>
      <c r="J324" s="99"/>
      <c r="K324" s="96"/>
      <c r="L324" s="96"/>
      <c r="M324" s="96"/>
      <c r="N324" s="96"/>
    </row>
    <row r="325" spans="1:14" ht="12.75" hidden="1" outlineLevel="1">
      <c r="A325" s="90"/>
      <c r="B325" s="91" t="s">
        <v>148</v>
      </c>
      <c r="C325" s="90" t="s">
        <v>552</v>
      </c>
      <c r="D325" s="147" t="s">
        <v>162</v>
      </c>
      <c r="E325" s="90"/>
      <c r="F325" s="90"/>
      <c r="G325" s="90"/>
      <c r="H325" s="96"/>
      <c r="I325" s="99"/>
      <c r="J325" s="99"/>
      <c r="K325" s="96"/>
      <c r="L325" s="98"/>
      <c r="M325" s="96"/>
      <c r="N325" s="96"/>
    </row>
    <row r="326" spans="1:14" ht="12.75" hidden="1" outlineLevel="1">
      <c r="A326" s="90"/>
      <c r="B326" s="91" t="s">
        <v>154</v>
      </c>
      <c r="C326" s="90" t="s">
        <v>342</v>
      </c>
      <c r="D326" s="147" t="s">
        <v>162</v>
      </c>
      <c r="E326" s="90"/>
      <c r="F326" s="90"/>
      <c r="G326" s="90"/>
      <c r="H326" s="96"/>
      <c r="I326" s="99"/>
      <c r="J326" s="99"/>
      <c r="K326" s="96"/>
      <c r="L326" s="98"/>
      <c r="M326" s="96"/>
      <c r="N326" s="96"/>
    </row>
    <row r="327" spans="1:14" ht="12.75" hidden="1" outlineLevel="1">
      <c r="A327" s="90"/>
      <c r="B327" s="91" t="s">
        <v>336</v>
      </c>
      <c r="C327" s="90" t="s">
        <v>281</v>
      </c>
      <c r="D327" s="200" t="s">
        <v>162</v>
      </c>
      <c r="E327" s="90"/>
      <c r="F327" s="90"/>
      <c r="G327" s="90"/>
      <c r="H327" s="90"/>
      <c r="I327" s="90"/>
      <c r="J327" s="90"/>
      <c r="K327" s="90"/>
      <c r="L327" s="90"/>
      <c r="M327" s="90"/>
      <c r="N327" s="90"/>
    </row>
    <row r="328" spans="1:14" ht="12.75" hidden="1" outlineLevel="1">
      <c r="A328" s="90"/>
      <c r="B328" s="91" t="s">
        <v>145</v>
      </c>
      <c r="C328" s="90" t="s">
        <v>439</v>
      </c>
      <c r="D328" s="147" t="s">
        <v>162</v>
      </c>
      <c r="E328" s="90"/>
      <c r="F328" s="90"/>
      <c r="G328" s="90"/>
      <c r="H328" s="90"/>
      <c r="I328" s="90"/>
      <c r="J328" s="90"/>
      <c r="K328" s="90"/>
      <c r="L328" s="90"/>
      <c r="M328" s="90"/>
      <c r="N328" s="90"/>
    </row>
    <row r="329" spans="1:14" ht="12.75" hidden="1" outlineLevel="1">
      <c r="A329" s="90"/>
      <c r="B329" s="91" t="s">
        <v>152</v>
      </c>
      <c r="C329" s="90" t="s">
        <v>291</v>
      </c>
      <c r="D329" s="147" t="s">
        <v>162</v>
      </c>
      <c r="E329" s="90"/>
      <c r="F329" s="90"/>
      <c r="G329" s="90"/>
      <c r="H329" s="90"/>
      <c r="I329" s="90"/>
      <c r="J329" s="90"/>
      <c r="K329" s="90"/>
      <c r="L329" s="90"/>
      <c r="M329" s="90"/>
      <c r="N329" s="90"/>
    </row>
    <row r="330" spans="1:14" ht="12.75" hidden="1" outlineLevel="1">
      <c r="A330" s="90"/>
      <c r="B330" s="91" t="s">
        <v>150</v>
      </c>
      <c r="C330" s="90" t="s">
        <v>278</v>
      </c>
      <c r="D330" s="147" t="s">
        <v>162</v>
      </c>
      <c r="E330" s="90"/>
      <c r="F330" s="90"/>
      <c r="G330" s="90"/>
      <c r="H330" s="90"/>
      <c r="I330" s="90"/>
      <c r="J330" s="90"/>
      <c r="K330" s="90"/>
      <c r="L330" s="90"/>
      <c r="M330" s="90"/>
      <c r="N330" s="90"/>
    </row>
    <row r="331" spans="1:14" ht="12.75" hidden="1" outlineLevel="1">
      <c r="A331" s="90"/>
      <c r="B331" s="91" t="s">
        <v>155</v>
      </c>
      <c r="C331" s="90" t="s">
        <v>351</v>
      </c>
      <c r="D331" s="147" t="s">
        <v>162</v>
      </c>
      <c r="E331" s="90"/>
      <c r="F331" s="90"/>
      <c r="G331" s="90"/>
      <c r="H331" s="90"/>
      <c r="I331" s="90"/>
      <c r="J331" s="90"/>
      <c r="K331" s="90"/>
      <c r="L331" s="90"/>
      <c r="M331" s="90"/>
      <c r="N331" s="90"/>
    </row>
    <row r="332" spans="1:14" ht="12.75" hidden="1" outlineLevel="1">
      <c r="A332" s="90"/>
      <c r="B332" s="91" t="s">
        <v>155</v>
      </c>
      <c r="C332" s="90" t="s">
        <v>279</v>
      </c>
      <c r="D332" s="147" t="s">
        <v>162</v>
      </c>
      <c r="E332" s="90"/>
      <c r="F332" s="90"/>
      <c r="G332" s="90"/>
      <c r="H332" s="90"/>
      <c r="I332" s="90"/>
      <c r="J332" s="90"/>
      <c r="K332" s="90"/>
      <c r="L332" s="90"/>
      <c r="M332" s="90"/>
      <c r="N332" s="90"/>
    </row>
    <row r="333" spans="1:14" ht="12.75" hidden="1" outlineLevel="1">
      <c r="A333" s="90"/>
      <c r="B333" s="91" t="s">
        <v>151</v>
      </c>
      <c r="C333" s="90" t="s">
        <v>282</v>
      </c>
      <c r="D333" s="147" t="s">
        <v>162</v>
      </c>
      <c r="E333" s="90"/>
      <c r="F333" s="90"/>
      <c r="G333" s="90"/>
      <c r="H333" s="90"/>
      <c r="I333" s="90"/>
      <c r="J333" s="90"/>
      <c r="K333" s="90"/>
      <c r="L333" s="90"/>
      <c r="M333" s="90"/>
      <c r="N333" s="90"/>
    </row>
    <row r="334" spans="1:14" ht="12.75" hidden="1" outlineLevel="1">
      <c r="A334" s="90"/>
      <c r="B334" s="91" t="s">
        <v>337</v>
      </c>
      <c r="C334" s="90" t="s">
        <v>553</v>
      </c>
      <c r="D334" s="147" t="s">
        <v>162</v>
      </c>
      <c r="E334" s="90"/>
      <c r="F334" s="90"/>
      <c r="G334" s="90"/>
      <c r="H334" s="90"/>
      <c r="I334" s="90"/>
      <c r="J334" s="90"/>
      <c r="K334" s="90"/>
      <c r="L334" s="90"/>
      <c r="M334" s="90"/>
      <c r="N334" s="90"/>
    </row>
    <row r="335" spans="1:14" ht="12.75" hidden="1" outlineLevel="1">
      <c r="A335" s="90"/>
      <c r="B335" s="91" t="s">
        <v>156</v>
      </c>
      <c r="C335" s="90" t="s">
        <v>288</v>
      </c>
      <c r="D335" s="147" t="s">
        <v>162</v>
      </c>
      <c r="E335" s="90"/>
      <c r="F335" s="90"/>
      <c r="G335" s="90"/>
      <c r="H335" s="90"/>
      <c r="I335" s="90"/>
      <c r="J335" s="90"/>
      <c r="K335" s="90"/>
      <c r="L335" s="90"/>
      <c r="M335" s="90"/>
      <c r="N335" s="90"/>
    </row>
    <row r="336" spans="1:14" ht="12.75" hidden="1" outlineLevel="1">
      <c r="A336" s="90"/>
      <c r="B336" s="91" t="s">
        <v>140</v>
      </c>
      <c r="C336" s="90" t="s">
        <v>341</v>
      </c>
      <c r="D336" s="147" t="s">
        <v>170</v>
      </c>
      <c r="E336" s="90"/>
      <c r="F336" s="90"/>
      <c r="G336" s="90"/>
      <c r="H336" s="90"/>
      <c r="I336" s="90"/>
      <c r="J336" s="90"/>
      <c r="K336" s="90"/>
      <c r="L336" s="90"/>
      <c r="M336" s="90"/>
      <c r="N336" s="90"/>
    </row>
    <row r="337" spans="1:14" ht="12.75" hidden="1" outlineLevel="1">
      <c r="A337" s="90"/>
      <c r="B337" s="91" t="s">
        <v>149</v>
      </c>
      <c r="C337" s="90" t="s">
        <v>277</v>
      </c>
      <c r="D337" s="147" t="s">
        <v>170</v>
      </c>
      <c r="E337" s="90"/>
      <c r="F337" s="90"/>
      <c r="G337" s="90"/>
      <c r="H337" s="90"/>
      <c r="I337" s="90"/>
      <c r="J337" s="90"/>
      <c r="K337" s="90"/>
      <c r="L337" s="90"/>
      <c r="M337" s="90"/>
      <c r="N337" s="90"/>
    </row>
    <row r="338" spans="1:14" ht="12.75" hidden="1" outlineLevel="1">
      <c r="A338" s="90"/>
      <c r="B338" s="91" t="s">
        <v>335</v>
      </c>
      <c r="C338" s="90" t="s">
        <v>283</v>
      </c>
      <c r="D338" s="147" t="s">
        <v>307</v>
      </c>
      <c r="E338" s="90"/>
      <c r="F338" s="90"/>
      <c r="G338" s="90"/>
      <c r="H338" s="90"/>
      <c r="I338" s="90"/>
      <c r="J338" s="90"/>
      <c r="K338" s="90"/>
      <c r="L338" s="90"/>
      <c r="M338" s="90"/>
      <c r="N338" s="90"/>
    </row>
    <row r="339" spans="1:14" ht="12.75" hidden="1" outlineLevel="1">
      <c r="A339" s="90"/>
      <c r="B339" s="91" t="s">
        <v>147</v>
      </c>
      <c r="C339" s="90" t="s">
        <v>353</v>
      </c>
      <c r="D339" s="147" t="s">
        <v>166</v>
      </c>
      <c r="E339" s="90"/>
      <c r="F339" s="90"/>
      <c r="G339" s="90"/>
      <c r="H339" s="90"/>
      <c r="I339" s="90"/>
      <c r="J339" s="90"/>
      <c r="K339" s="90"/>
      <c r="L339" s="90"/>
      <c r="M339" s="90"/>
      <c r="N339" s="90"/>
    </row>
    <row r="340" spans="1:14" ht="12.75" hidden="1" outlineLevel="1">
      <c r="A340" s="90"/>
      <c r="B340" s="91" t="s">
        <v>334</v>
      </c>
      <c r="C340" s="90" t="s">
        <v>350</v>
      </c>
      <c r="D340" s="147" t="s">
        <v>1083</v>
      </c>
      <c r="E340" s="90"/>
      <c r="F340" s="90"/>
      <c r="G340" s="90"/>
      <c r="H340" s="90"/>
      <c r="I340" s="90"/>
      <c r="J340" s="90"/>
      <c r="K340" s="90"/>
      <c r="L340" s="90"/>
      <c r="M340" s="90"/>
      <c r="N340" s="90"/>
    </row>
    <row r="341" spans="1:14" ht="12.75" collapsed="1">
      <c r="A341" s="90"/>
      <c r="B341" s="90"/>
      <c r="C341" s="90"/>
      <c r="D341" s="90"/>
      <c r="E341" s="90"/>
      <c r="F341" s="90"/>
      <c r="G341" s="90"/>
      <c r="H341" s="90"/>
      <c r="I341" s="90"/>
      <c r="J341" s="90"/>
      <c r="K341" s="90"/>
      <c r="L341" s="90"/>
      <c r="M341" s="90"/>
      <c r="N341" s="90"/>
    </row>
    <row r="342" spans="1:14" s="108" customFormat="1" ht="12.75">
      <c r="A342" s="107"/>
      <c r="B342" s="107" t="str">
        <f>CONCATENATE($D311," = ",COUNTIF($D311:$D340,$D311),TEXT((COUNTIF($D311:$D340,"too much")/ROWS($D311:$D340)),"   (#%)"))</f>
        <v>Too much = 3   (10%)</v>
      </c>
      <c r="C342" s="107"/>
      <c r="D342" s="107"/>
      <c r="E342" s="107"/>
      <c r="F342" s="107"/>
      <c r="G342" s="107"/>
      <c r="H342" s="107"/>
      <c r="I342" s="107"/>
      <c r="J342" s="107"/>
      <c r="K342" s="107"/>
      <c r="L342" s="107"/>
      <c r="M342" s="107"/>
      <c r="N342" s="107"/>
    </row>
    <row r="343" spans="1:14" s="108" customFormat="1" ht="12.75">
      <c r="A343" s="107"/>
      <c r="B343" s="107" t="str">
        <f>CONCATENATE($D314," = ",COUNTIF($D311:$D340,$D314),TEXT((COUNTIF($D311:$D340,"just right")/ROWS($D311:$D340)),"   (#%)"))</f>
        <v>Just right = 21   (70%)</v>
      </c>
      <c r="C343" s="107"/>
      <c r="D343" s="107"/>
      <c r="E343" s="107"/>
      <c r="F343" s="107"/>
      <c r="G343" s="107"/>
      <c r="H343" s="107"/>
      <c r="I343" s="107"/>
      <c r="J343" s="107"/>
      <c r="K343" s="107"/>
      <c r="L343" s="107"/>
      <c r="M343" s="107"/>
      <c r="N343" s="107"/>
    </row>
    <row r="344" spans="1:14" s="108" customFormat="1" ht="12.75">
      <c r="A344" s="107"/>
      <c r="B344" s="107" t="str">
        <f>CONCATENATE($D336," = ",COUNTIF($D311:$D340,$D336),TEXT((COUNTIF($D311:$D340,"not enough")/ROWS($D311:$D340)),"   (#%)"))</f>
        <v>Not enough = 3   (10%)</v>
      </c>
      <c r="C344" s="107"/>
      <c r="D344" s="107"/>
      <c r="E344" s="107"/>
      <c r="F344" s="107"/>
      <c r="G344" s="107"/>
      <c r="H344" s="107"/>
      <c r="I344" s="107"/>
      <c r="J344" s="107"/>
      <c r="K344" s="107"/>
      <c r="L344" s="107"/>
      <c r="M344" s="107"/>
      <c r="N344" s="107"/>
    </row>
    <row r="345" spans="1:14" s="108" customFormat="1" ht="12.75">
      <c r="A345" s="107"/>
      <c r="B345" s="107" t="str">
        <f>CONCATENATE($D338," = ",COUNTIF($D311:$D340,$D338),TEXT((COUNTIF($D311:$D340,"not nearly enough")/ROWS($D311:$D340)),"   (#%)"))</f>
        <v>Not nearly enough = 1   (3%)</v>
      </c>
      <c r="C345" s="107"/>
      <c r="D345" s="107"/>
      <c r="E345" s="107"/>
      <c r="F345" s="107"/>
      <c r="G345" s="107"/>
      <c r="H345" s="107"/>
      <c r="I345" s="107"/>
      <c r="J345" s="107"/>
      <c r="K345" s="107"/>
      <c r="L345" s="107"/>
      <c r="M345" s="107"/>
      <c r="N345" s="107"/>
    </row>
    <row r="346" spans="1:14" s="108" customFormat="1" ht="12.75">
      <c r="A346" s="107"/>
      <c r="B346" s="107" t="str">
        <f>CONCATENATE($D339," = ",COUNTIF($D311:$D340,$D339),TEXT((COUNTIF($D311:$D340,"not sure")/ROWS($D311:$D340)),"   (#%)"))</f>
        <v>Not sure = 1   (3%)</v>
      </c>
      <c r="C346" s="107"/>
      <c r="D346" s="107"/>
      <c r="E346" s="107"/>
      <c r="F346" s="107"/>
      <c r="G346" s="107"/>
      <c r="H346" s="107"/>
      <c r="I346" s="107"/>
      <c r="J346" s="107"/>
      <c r="K346" s="107"/>
      <c r="L346" s="107"/>
      <c r="M346" s="107"/>
      <c r="N346" s="107"/>
    </row>
    <row r="347" spans="1:14" s="108" customFormat="1" ht="12.75">
      <c r="A347" s="107"/>
      <c r="B347" s="107"/>
      <c r="C347" s="107"/>
      <c r="D347" s="107"/>
      <c r="E347" s="107"/>
      <c r="F347" s="107"/>
      <c r="G347" s="107"/>
      <c r="H347" s="107"/>
      <c r="I347" s="107"/>
      <c r="J347" s="107"/>
      <c r="K347" s="107"/>
      <c r="L347" s="107"/>
      <c r="M347" s="107"/>
      <c r="N347" s="107"/>
    </row>
    <row r="348" spans="1:14" s="108" customFormat="1" ht="12.75">
      <c r="A348" s="107"/>
      <c r="B348" s="107"/>
      <c r="C348" s="139" t="s">
        <v>1323</v>
      </c>
      <c r="D348" s="107"/>
      <c r="E348" s="107"/>
      <c r="F348" s="107"/>
      <c r="G348" s="107"/>
      <c r="H348" s="107"/>
      <c r="I348" s="107"/>
      <c r="J348" s="107"/>
      <c r="K348" s="107"/>
      <c r="L348" s="107"/>
      <c r="M348" s="107"/>
      <c r="N348" s="107"/>
    </row>
    <row r="349" spans="1:14" ht="12.75" hidden="1" outlineLevel="1">
      <c r="A349" s="90"/>
      <c r="B349" s="90"/>
      <c r="C349" s="106">
        <v>2011</v>
      </c>
      <c r="D349" s="106">
        <v>2014</v>
      </c>
      <c r="E349" s="278" t="s">
        <v>1322</v>
      </c>
      <c r="F349" s="278"/>
      <c r="G349" s="90"/>
      <c r="H349" s="96"/>
      <c r="I349" s="97">
        <v>20.11</v>
      </c>
      <c r="J349" s="97">
        <v>20.14</v>
      </c>
      <c r="K349" s="97" t="s">
        <v>1569</v>
      </c>
      <c r="L349" s="98" t="s">
        <v>1511</v>
      </c>
      <c r="M349" s="96" t="s">
        <v>1570</v>
      </c>
      <c r="N349" s="97" t="s">
        <v>1571</v>
      </c>
    </row>
    <row r="350" spans="1:14" ht="12.75" hidden="1" outlineLevel="1">
      <c r="A350" s="90"/>
      <c r="B350" s="90"/>
      <c r="C350" s="147" t="s">
        <v>1462</v>
      </c>
      <c r="D350" s="147" t="s">
        <v>1467</v>
      </c>
      <c r="E350" s="189">
        <f>(J350-I350)</f>
        <v>0.1</v>
      </c>
      <c r="F350" s="147"/>
      <c r="G350" s="90"/>
      <c r="H350" s="96" t="s">
        <v>172</v>
      </c>
      <c r="I350" s="99">
        <f>K350/$M$257</f>
        <v>0</v>
      </c>
      <c r="J350" s="99">
        <f>L350/$N$257</f>
        <v>0.1</v>
      </c>
      <c r="K350" s="96">
        <v>0</v>
      </c>
      <c r="L350" s="98">
        <v>3</v>
      </c>
      <c r="M350" s="96">
        <v>27</v>
      </c>
      <c r="N350" s="96">
        <v>30</v>
      </c>
    </row>
    <row r="351" spans="1:14" ht="12.75" hidden="1" outlineLevel="1">
      <c r="A351" s="90"/>
      <c r="B351" s="90"/>
      <c r="C351" s="147" t="s">
        <v>1463</v>
      </c>
      <c r="D351" s="147" t="s">
        <v>1586</v>
      </c>
      <c r="E351" s="189">
        <f>(J351-I351)</f>
        <v>0.06666666666666665</v>
      </c>
      <c r="F351" s="147"/>
      <c r="G351" s="90"/>
      <c r="H351" s="96" t="s">
        <v>162</v>
      </c>
      <c r="I351" s="99">
        <f>K351/$M$257</f>
        <v>0.6666666666666666</v>
      </c>
      <c r="J351" s="99">
        <f>L351/$N$257</f>
        <v>0.7333333333333333</v>
      </c>
      <c r="K351" s="96">
        <v>18</v>
      </c>
      <c r="L351" s="98">
        <v>22</v>
      </c>
      <c r="M351" s="96"/>
      <c r="N351" s="96"/>
    </row>
    <row r="352" spans="1:14" ht="12.75" hidden="1" outlineLevel="1">
      <c r="A352" s="90"/>
      <c r="B352" s="90"/>
      <c r="C352" s="147" t="s">
        <v>1464</v>
      </c>
      <c r="D352" s="147" t="s">
        <v>1587</v>
      </c>
      <c r="E352" s="189">
        <f>(J352-I352)</f>
        <v>-0.15555555555555556</v>
      </c>
      <c r="F352" s="147"/>
      <c r="G352" s="90"/>
      <c r="H352" s="96" t="s">
        <v>170</v>
      </c>
      <c r="I352" s="99">
        <f>K352/$M$257</f>
        <v>0.2222222222222222</v>
      </c>
      <c r="J352" s="99">
        <f>L352/$N$257</f>
        <v>0.06666666666666667</v>
      </c>
      <c r="K352" s="96">
        <v>6</v>
      </c>
      <c r="L352" s="96">
        <v>2</v>
      </c>
      <c r="M352" s="96"/>
      <c r="N352" s="96"/>
    </row>
    <row r="353" spans="1:14" ht="12.75" hidden="1" outlineLevel="1">
      <c r="A353" s="90"/>
      <c r="B353" s="90"/>
      <c r="C353" s="147" t="s">
        <v>1465</v>
      </c>
      <c r="D353" s="147" t="s">
        <v>1468</v>
      </c>
      <c r="E353" s="189">
        <f>(J353-I353)</f>
        <v>0.03333333333333333</v>
      </c>
      <c r="F353" s="147"/>
      <c r="G353" s="90"/>
      <c r="H353" s="96" t="s">
        <v>307</v>
      </c>
      <c r="I353" s="99">
        <f>K353/$M$257</f>
        <v>0</v>
      </c>
      <c r="J353" s="99">
        <f>L353/$N$257</f>
        <v>0.03333333333333333</v>
      </c>
      <c r="K353" s="96">
        <v>0</v>
      </c>
      <c r="L353" s="98">
        <v>1</v>
      </c>
      <c r="M353" s="96"/>
      <c r="N353" s="96"/>
    </row>
    <row r="354" spans="1:14" ht="12.75" hidden="1" outlineLevel="1">
      <c r="A354" s="90"/>
      <c r="B354" s="90"/>
      <c r="C354" s="147" t="s">
        <v>1466</v>
      </c>
      <c r="D354" s="147" t="s">
        <v>1469</v>
      </c>
      <c r="E354" s="189">
        <f>(J354-I354)</f>
        <v>-0.04074074074074074</v>
      </c>
      <c r="F354" s="147"/>
      <c r="G354" s="90"/>
      <c r="H354" s="96" t="s">
        <v>166</v>
      </c>
      <c r="I354" s="99">
        <f>K354/$M$257</f>
        <v>0.07407407407407407</v>
      </c>
      <c r="J354" s="99">
        <f>L354/$N$257</f>
        <v>0.03333333333333333</v>
      </c>
      <c r="K354" s="96">
        <v>2</v>
      </c>
      <c r="L354" s="98">
        <v>1</v>
      </c>
      <c r="M354" s="96"/>
      <c r="N354" s="96"/>
    </row>
    <row r="355" spans="1:14" ht="12.75" collapsed="1">
      <c r="A355" s="90"/>
      <c r="B355" s="90"/>
      <c r="C355" s="90"/>
      <c r="D355" s="90"/>
      <c r="E355" s="90"/>
      <c r="F355" s="90"/>
      <c r="G355" s="90"/>
      <c r="H355" s="90"/>
      <c r="I355" s="90"/>
      <c r="J355" s="90"/>
      <c r="K355" s="90"/>
      <c r="L355" s="90"/>
      <c r="M355" s="90"/>
      <c r="N355" s="90"/>
    </row>
    <row r="356" spans="1:14" ht="12.75">
      <c r="A356" s="90"/>
      <c r="B356" s="90"/>
      <c r="C356" s="90"/>
      <c r="D356" s="90"/>
      <c r="E356" s="90"/>
      <c r="F356" s="90"/>
      <c r="G356" s="90"/>
      <c r="H356" s="90"/>
      <c r="I356" s="90"/>
      <c r="J356" s="90"/>
      <c r="K356" s="90"/>
      <c r="L356" s="90"/>
      <c r="M356" s="90"/>
      <c r="N356" s="90"/>
    </row>
    <row r="357" spans="1:14" ht="12.75">
      <c r="A357" s="90"/>
      <c r="B357" s="90"/>
      <c r="C357" s="90"/>
      <c r="D357" s="90"/>
      <c r="E357" s="90"/>
      <c r="F357" s="90"/>
      <c r="G357" s="90"/>
      <c r="H357" s="90"/>
      <c r="I357" s="90"/>
      <c r="J357" s="90"/>
      <c r="K357" s="90"/>
      <c r="L357" s="90"/>
      <c r="M357" s="90"/>
      <c r="N357" s="90"/>
    </row>
    <row r="358" spans="1:14" ht="12.75">
      <c r="A358" s="90"/>
      <c r="B358" s="90"/>
      <c r="C358" s="90"/>
      <c r="D358" s="90"/>
      <c r="E358" s="90"/>
      <c r="F358" s="90"/>
      <c r="G358" s="90"/>
      <c r="H358" s="90"/>
      <c r="I358" s="90"/>
      <c r="J358" s="90"/>
      <c r="K358" s="90"/>
      <c r="L358" s="90"/>
      <c r="M358" s="90"/>
      <c r="N358" s="90"/>
    </row>
    <row r="611" ht="12.75"/>
    <row r="612" ht="12.75"/>
    <row r="613" ht="12.75"/>
    <row r="614" ht="12.75"/>
  </sheetData>
  <sheetProtection/>
  <mergeCells count="5">
    <mergeCell ref="B309:G309"/>
    <mergeCell ref="E175:F175"/>
    <mergeCell ref="E90:F90"/>
    <mergeCell ref="E349:F349"/>
    <mergeCell ref="E304:F304"/>
  </mergeCells>
  <printOptions/>
  <pageMargins left="0.7" right="0.7" top="0.75" bottom="0.75" header="0.3" footer="0.3"/>
  <pageSetup fitToHeight="0" fitToWidth="1" horizontalDpi="600" verticalDpi="600" orientation="portrait" scale="85"/>
  <headerFooter alignWithMargins="0">
    <oddFooter>&amp;C&amp;P</oddFooter>
  </headerFooter>
  <rowBreaks count="1" manualBreakCount="1">
    <brk id="132" max="3" man="1"/>
  </rowBreaks>
  <colBreaks count="1" manualBreakCount="1">
    <brk id="10" max="65535" man="1"/>
  </col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78"/>
  <sheetViews>
    <sheetView showGridLines="0" zoomScalePageLayoutView="0" workbookViewId="0" topLeftCell="A1">
      <selection activeCell="E16" sqref="E16"/>
    </sheetView>
  </sheetViews>
  <sheetFormatPr defaultColWidth="8.8515625" defaultRowHeight="12.75"/>
  <cols>
    <col min="1" max="1" width="12.28125" style="90" customWidth="1"/>
    <col min="2" max="2" width="16.421875" style="90" customWidth="1"/>
    <col min="3" max="9" width="21.140625" style="90" customWidth="1"/>
    <col min="10" max="10" width="11.140625" style="90" bestFit="1" customWidth="1"/>
    <col min="11" max="16384" width="8.8515625" style="90" customWidth="1"/>
  </cols>
  <sheetData>
    <row r="1" spans="2:3" ht="75" customHeight="1">
      <c r="B1" s="95"/>
      <c r="C1" s="95"/>
    </row>
    <row r="2" spans="2:3" ht="22.5">
      <c r="B2" s="143"/>
      <c r="C2" s="144"/>
    </row>
    <row r="3" spans="2:12" ht="22.5">
      <c r="B3" s="143"/>
      <c r="C3" s="144"/>
      <c r="J3" s="145"/>
      <c r="K3" s="145"/>
      <c r="L3" s="145"/>
    </row>
    <row r="4" spans="2:12" ht="18" customHeight="1">
      <c r="B4" s="146"/>
      <c r="C4" s="144"/>
      <c r="J4" s="145"/>
      <c r="K4" s="145"/>
      <c r="L4" s="145"/>
    </row>
    <row r="5" spans="2:12" ht="18" customHeight="1">
      <c r="B5" s="93"/>
      <c r="C5" s="144"/>
      <c r="J5" s="145"/>
      <c r="K5" s="145"/>
      <c r="L5" s="145"/>
    </row>
    <row r="6" spans="2:12" ht="42.75" customHeight="1">
      <c r="B6" s="147"/>
      <c r="C6" s="95"/>
      <c r="J6" s="145"/>
      <c r="K6" s="145"/>
      <c r="L6" s="145"/>
    </row>
    <row r="7" ht="18" customHeight="1"/>
    <row r="8" s="87" customFormat="1" ht="18">
      <c r="A8" s="88" t="s">
        <v>9</v>
      </c>
    </row>
    <row r="10" spans="1:3" s="107" customFormat="1" ht="12.75">
      <c r="A10" s="149"/>
      <c r="B10" s="152" t="s">
        <v>410</v>
      </c>
      <c r="C10" s="152" t="s">
        <v>411</v>
      </c>
    </row>
    <row r="11" spans="1:9" s="107" customFormat="1" ht="12.75">
      <c r="A11" s="156" t="s">
        <v>324</v>
      </c>
      <c r="B11" s="152" t="s">
        <v>409</v>
      </c>
      <c r="C11" s="154" t="s">
        <v>314</v>
      </c>
      <c r="D11" s="154" t="s">
        <v>407</v>
      </c>
      <c r="E11" s="154" t="s">
        <v>315</v>
      </c>
      <c r="F11" s="154" t="s">
        <v>316</v>
      </c>
      <c r="G11" s="154" t="s">
        <v>193</v>
      </c>
      <c r="H11" s="154" t="s">
        <v>194</v>
      </c>
      <c r="I11" s="154" t="s">
        <v>1672</v>
      </c>
    </row>
    <row r="12" spans="1:9" ht="12.75">
      <c r="A12" s="160" t="s">
        <v>834</v>
      </c>
      <c r="B12" s="147" t="s">
        <v>341</v>
      </c>
      <c r="C12" s="148">
        <v>3280</v>
      </c>
      <c r="D12" s="148">
        <v>3280</v>
      </c>
      <c r="E12" s="148">
        <v>0</v>
      </c>
      <c r="F12" s="148">
        <v>11480.000000000002</v>
      </c>
      <c r="G12" s="148">
        <v>19680</v>
      </c>
      <c r="H12" s="148">
        <v>3280</v>
      </c>
      <c r="I12" s="148">
        <v>41000</v>
      </c>
    </row>
    <row r="13" spans="1:9" ht="12.75">
      <c r="A13" s="160" t="s">
        <v>1099</v>
      </c>
      <c r="B13" s="147" t="s">
        <v>350</v>
      </c>
      <c r="C13" s="148">
        <v>0</v>
      </c>
      <c r="D13" s="148">
        <v>8000</v>
      </c>
      <c r="E13" s="148">
        <v>82000</v>
      </c>
      <c r="F13" s="148">
        <v>0</v>
      </c>
      <c r="G13" s="148">
        <v>0</v>
      </c>
      <c r="H13" s="148">
        <v>0</v>
      </c>
      <c r="I13" s="148">
        <v>90000</v>
      </c>
    </row>
    <row r="14" spans="1:9" ht="12.75">
      <c r="A14" s="160" t="s">
        <v>854</v>
      </c>
      <c r="B14" s="147" t="s">
        <v>554</v>
      </c>
      <c r="C14" s="148">
        <v>512999.99999999994</v>
      </c>
      <c r="D14" s="148">
        <v>36000</v>
      </c>
      <c r="E14" s="148">
        <v>0</v>
      </c>
      <c r="F14" s="148">
        <v>0</v>
      </c>
      <c r="G14" s="148">
        <v>333000</v>
      </c>
      <c r="H14" s="148">
        <v>18000</v>
      </c>
      <c r="I14" s="148">
        <v>900000</v>
      </c>
    </row>
    <row r="15" spans="1:9" ht="12.75">
      <c r="A15" s="160" t="s">
        <v>1255</v>
      </c>
      <c r="B15" s="147" t="s">
        <v>553</v>
      </c>
      <c r="C15" s="148">
        <v>20280</v>
      </c>
      <c r="D15" s="148">
        <v>114920.00000000001</v>
      </c>
      <c r="E15" s="148">
        <v>175760</v>
      </c>
      <c r="F15" s="148">
        <v>6760</v>
      </c>
      <c r="G15" s="148">
        <v>121680</v>
      </c>
      <c r="H15" s="148">
        <v>6760</v>
      </c>
      <c r="I15" s="148">
        <v>446160</v>
      </c>
    </row>
    <row r="16" spans="1:9" ht="12.75">
      <c r="A16" s="160" t="s">
        <v>120</v>
      </c>
      <c r="B16" s="147" t="s">
        <v>352</v>
      </c>
      <c r="C16" s="148">
        <v>18000</v>
      </c>
      <c r="D16" s="148">
        <v>0</v>
      </c>
      <c r="E16" s="148">
        <v>292500</v>
      </c>
      <c r="F16" s="148">
        <v>0</v>
      </c>
      <c r="G16" s="148">
        <v>135000</v>
      </c>
      <c r="H16" s="148">
        <v>4500</v>
      </c>
      <c r="I16" s="148">
        <v>450000</v>
      </c>
    </row>
    <row r="17" spans="1:9" ht="12.75">
      <c r="A17" s="160" t="s">
        <v>120</v>
      </c>
      <c r="B17" s="147" t="s">
        <v>342</v>
      </c>
      <c r="C17" s="148">
        <v>100000</v>
      </c>
      <c r="D17" s="148">
        <v>783000</v>
      </c>
      <c r="E17" s="148">
        <v>277000</v>
      </c>
      <c r="F17" s="148">
        <v>5000</v>
      </c>
      <c r="G17" s="148">
        <v>400000</v>
      </c>
      <c r="H17" s="148">
        <v>35000</v>
      </c>
      <c r="I17" s="148">
        <v>1600000</v>
      </c>
    </row>
    <row r="18" spans="1:9" ht="12.75">
      <c r="A18" s="160" t="s">
        <v>121</v>
      </c>
      <c r="B18" s="147" t="s">
        <v>445</v>
      </c>
      <c r="C18" s="148">
        <v>70000</v>
      </c>
      <c r="D18" s="148">
        <v>35000</v>
      </c>
      <c r="E18" s="148">
        <v>210000</v>
      </c>
      <c r="F18" s="148">
        <v>35000</v>
      </c>
      <c r="G18" s="148">
        <v>280000</v>
      </c>
      <c r="H18" s="148">
        <v>70000</v>
      </c>
      <c r="I18" s="148">
        <v>700000</v>
      </c>
    </row>
    <row r="19" spans="1:9" ht="12.75">
      <c r="A19" s="160" t="s">
        <v>927</v>
      </c>
      <c r="B19" s="147" t="s">
        <v>349</v>
      </c>
      <c r="C19" s="148">
        <v>187500</v>
      </c>
      <c r="D19" s="148">
        <v>52500.00000000001</v>
      </c>
      <c r="E19" s="148">
        <v>375000</v>
      </c>
      <c r="F19" s="148">
        <v>97500</v>
      </c>
      <c r="G19" s="148">
        <v>0</v>
      </c>
      <c r="H19" s="148">
        <v>37500</v>
      </c>
      <c r="I19" s="148">
        <v>750000</v>
      </c>
    </row>
    <row r="20" spans="1:9" ht="12.75">
      <c r="A20" s="160" t="s">
        <v>125</v>
      </c>
      <c r="B20" s="147" t="s">
        <v>444</v>
      </c>
      <c r="C20" s="148">
        <v>210000</v>
      </c>
      <c r="D20" s="148">
        <v>0</v>
      </c>
      <c r="E20" s="148">
        <v>350000</v>
      </c>
      <c r="F20" s="148">
        <v>35000</v>
      </c>
      <c r="G20" s="148">
        <v>70000</v>
      </c>
      <c r="H20" s="148">
        <v>35000</v>
      </c>
      <c r="I20" s="148">
        <v>700000</v>
      </c>
    </row>
    <row r="21" spans="1:9" ht="12.75">
      <c r="A21" s="160" t="s">
        <v>122</v>
      </c>
      <c r="B21" s="147" t="s">
        <v>343</v>
      </c>
      <c r="C21" s="148">
        <v>100000</v>
      </c>
      <c r="D21" s="148">
        <v>0</v>
      </c>
      <c r="E21" s="148">
        <v>75000</v>
      </c>
      <c r="F21" s="148">
        <v>0</v>
      </c>
      <c r="G21" s="148">
        <v>50000</v>
      </c>
      <c r="H21" s="148">
        <v>25000</v>
      </c>
      <c r="I21" s="148">
        <v>250000</v>
      </c>
    </row>
    <row r="22" spans="1:9" ht="12.75">
      <c r="A22" s="160" t="s">
        <v>854</v>
      </c>
      <c r="B22" s="147" t="s">
        <v>436</v>
      </c>
      <c r="C22" s="148">
        <v>112500</v>
      </c>
      <c r="D22" s="148">
        <v>0</v>
      </c>
      <c r="E22" s="148">
        <v>375000</v>
      </c>
      <c r="F22" s="148">
        <v>112500</v>
      </c>
      <c r="G22" s="148">
        <v>0</v>
      </c>
      <c r="H22" s="148">
        <v>150000</v>
      </c>
      <c r="I22" s="148">
        <v>750000</v>
      </c>
    </row>
    <row r="23" spans="1:9" ht="12.75">
      <c r="A23" s="160" t="s">
        <v>123</v>
      </c>
      <c r="B23" s="147" t="s">
        <v>437</v>
      </c>
      <c r="C23" s="148">
        <v>128099.99999999999</v>
      </c>
      <c r="D23" s="148">
        <v>53069.99999999999</v>
      </c>
      <c r="E23" s="148">
        <v>0</v>
      </c>
      <c r="F23" s="148">
        <v>0</v>
      </c>
      <c r="G23" s="148">
        <v>1830</v>
      </c>
      <c r="H23" s="148">
        <v>0</v>
      </c>
      <c r="I23" s="148">
        <v>182999.99999999997</v>
      </c>
    </row>
    <row r="24" spans="1:9" ht="12.75">
      <c r="A24" s="160" t="s">
        <v>124</v>
      </c>
      <c r="B24" s="147" t="s">
        <v>438</v>
      </c>
      <c r="C24" s="148">
        <v>41250</v>
      </c>
      <c r="D24" s="148">
        <v>12500</v>
      </c>
      <c r="E24" s="148">
        <v>28750</v>
      </c>
      <c r="F24" s="148">
        <v>30000</v>
      </c>
      <c r="G24" s="148">
        <v>0</v>
      </c>
      <c r="H24" s="148">
        <v>12500</v>
      </c>
      <c r="I24" s="148">
        <v>125000</v>
      </c>
    </row>
    <row r="25" spans="1:9" ht="12.75">
      <c r="A25" s="160" t="s">
        <v>125</v>
      </c>
      <c r="B25" s="147" t="s">
        <v>446</v>
      </c>
      <c r="C25" s="148">
        <v>88000</v>
      </c>
      <c r="D25" s="148">
        <v>22000</v>
      </c>
      <c r="E25" s="148">
        <v>220000</v>
      </c>
      <c r="F25" s="148">
        <v>275000</v>
      </c>
      <c r="G25" s="148">
        <v>473000</v>
      </c>
      <c r="H25" s="148">
        <v>22000</v>
      </c>
      <c r="I25" s="148">
        <v>1100000</v>
      </c>
    </row>
    <row r="26" spans="1:9" ht="12.75">
      <c r="A26" s="160" t="s">
        <v>146</v>
      </c>
      <c r="B26" s="147" t="s">
        <v>550</v>
      </c>
      <c r="C26" s="148">
        <v>135000</v>
      </c>
      <c r="D26" s="148">
        <v>110000</v>
      </c>
      <c r="E26" s="148">
        <v>0</v>
      </c>
      <c r="F26" s="148">
        <v>70000</v>
      </c>
      <c r="G26" s="148">
        <v>15000</v>
      </c>
      <c r="H26" s="148">
        <v>70000</v>
      </c>
      <c r="I26" s="148">
        <v>400000</v>
      </c>
    </row>
    <row r="27" spans="1:9" ht="12.75">
      <c r="A27" s="160" t="s">
        <v>126</v>
      </c>
      <c r="B27" s="147" t="s">
        <v>351</v>
      </c>
      <c r="C27" s="148">
        <v>120000</v>
      </c>
      <c r="D27" s="148">
        <v>480000</v>
      </c>
      <c r="E27" s="148">
        <v>480000</v>
      </c>
      <c r="F27" s="148">
        <v>0</v>
      </c>
      <c r="G27" s="148">
        <v>0</v>
      </c>
      <c r="H27" s="148">
        <v>120000</v>
      </c>
      <c r="I27" s="148">
        <v>1200000</v>
      </c>
    </row>
    <row r="28" spans="1:9" ht="12.75">
      <c r="A28" s="160" t="s">
        <v>191</v>
      </c>
      <c r="B28" s="147" t="s">
        <v>439</v>
      </c>
      <c r="C28" s="148">
        <v>416399.99999999994</v>
      </c>
      <c r="D28" s="148">
        <v>91200</v>
      </c>
      <c r="E28" s="148">
        <v>568800</v>
      </c>
      <c r="F28" s="148">
        <v>25200</v>
      </c>
      <c r="G28" s="148">
        <v>63600</v>
      </c>
      <c r="H28" s="148">
        <v>34800</v>
      </c>
      <c r="I28" s="148">
        <v>1200000</v>
      </c>
    </row>
    <row r="29" spans="1:9" ht="12.75">
      <c r="A29" s="160" t="s">
        <v>127</v>
      </c>
      <c r="B29" s="147" t="s">
        <v>353</v>
      </c>
      <c r="C29" s="148">
        <v>93000</v>
      </c>
      <c r="D29" s="148">
        <v>6000</v>
      </c>
      <c r="E29" s="148">
        <v>0</v>
      </c>
      <c r="F29" s="148">
        <v>0</v>
      </c>
      <c r="G29" s="148">
        <v>183000</v>
      </c>
      <c r="H29" s="148">
        <v>18000</v>
      </c>
      <c r="I29" s="148">
        <v>300000</v>
      </c>
    </row>
    <row r="30" spans="1:9" ht="12.75">
      <c r="A30" s="160" t="s">
        <v>128</v>
      </c>
      <c r="B30" s="147" t="s">
        <v>551</v>
      </c>
      <c r="C30" s="148">
        <v>10000</v>
      </c>
      <c r="D30" s="148">
        <v>210000</v>
      </c>
      <c r="E30" s="148">
        <v>175000</v>
      </c>
      <c r="F30" s="148">
        <v>25000</v>
      </c>
      <c r="G30" s="148">
        <v>230000</v>
      </c>
      <c r="H30" s="148">
        <v>90000</v>
      </c>
      <c r="I30" s="148">
        <v>740000</v>
      </c>
    </row>
    <row r="31" spans="1:9" ht="12.75">
      <c r="A31" s="160" t="s">
        <v>129</v>
      </c>
      <c r="B31" s="147" t="s">
        <v>552</v>
      </c>
      <c r="C31" s="148">
        <v>160000</v>
      </c>
      <c r="D31" s="148">
        <v>60000</v>
      </c>
      <c r="E31" s="148">
        <v>340000</v>
      </c>
      <c r="F31" s="148">
        <v>160000</v>
      </c>
      <c r="G31" s="148">
        <v>150000</v>
      </c>
      <c r="H31" s="148">
        <v>130000</v>
      </c>
      <c r="I31" s="148">
        <v>1000000</v>
      </c>
    </row>
    <row r="32" spans="1:9" ht="12.75">
      <c r="A32" s="160" t="s">
        <v>1124</v>
      </c>
      <c r="B32" s="147" t="s">
        <v>281</v>
      </c>
      <c r="C32" s="148">
        <v>64000</v>
      </c>
      <c r="D32" s="148">
        <v>691200</v>
      </c>
      <c r="E32" s="148">
        <v>256000</v>
      </c>
      <c r="F32" s="148">
        <v>0</v>
      </c>
      <c r="G32" s="148">
        <v>256000</v>
      </c>
      <c r="H32" s="148">
        <v>12800</v>
      </c>
      <c r="I32" s="148">
        <v>1280000</v>
      </c>
    </row>
    <row r="33" spans="1:9" ht="12.75">
      <c r="A33" s="160" t="s">
        <v>130</v>
      </c>
      <c r="B33" s="147" t="s">
        <v>408</v>
      </c>
      <c r="C33" s="148">
        <v>90000</v>
      </c>
      <c r="D33" s="148">
        <v>0</v>
      </c>
      <c r="E33" s="148">
        <v>290000</v>
      </c>
      <c r="F33" s="148">
        <v>0</v>
      </c>
      <c r="G33" s="148">
        <v>95000</v>
      </c>
      <c r="H33" s="148">
        <v>25000</v>
      </c>
      <c r="I33" s="148">
        <v>500000</v>
      </c>
    </row>
    <row r="34" spans="1:9" ht="12.75">
      <c r="A34" s="160" t="s">
        <v>1161</v>
      </c>
      <c r="B34" s="147" t="s">
        <v>283</v>
      </c>
      <c r="C34" s="148">
        <v>0</v>
      </c>
      <c r="D34" s="148">
        <v>0</v>
      </c>
      <c r="E34" s="148">
        <v>5000</v>
      </c>
      <c r="F34" s="148">
        <v>35000</v>
      </c>
      <c r="G34" s="148">
        <v>150000</v>
      </c>
      <c r="H34" s="148">
        <v>30000</v>
      </c>
      <c r="I34" s="148">
        <v>220000</v>
      </c>
    </row>
    <row r="35" spans="1:9" ht="12.75">
      <c r="A35" s="160" t="s">
        <v>131</v>
      </c>
      <c r="B35" s="147" t="s">
        <v>277</v>
      </c>
      <c r="C35" s="148">
        <v>110000</v>
      </c>
      <c r="D35" s="148">
        <v>143000</v>
      </c>
      <c r="E35" s="148">
        <v>55000</v>
      </c>
      <c r="F35" s="148">
        <v>110000</v>
      </c>
      <c r="G35" s="148">
        <v>605000</v>
      </c>
      <c r="H35" s="148">
        <v>77000.00000000001</v>
      </c>
      <c r="I35" s="148">
        <v>1100000</v>
      </c>
    </row>
    <row r="36" spans="1:9" ht="12.75">
      <c r="A36" s="160" t="s">
        <v>1167</v>
      </c>
      <c r="B36" s="147" t="s">
        <v>278</v>
      </c>
      <c r="C36" s="148">
        <v>30000</v>
      </c>
      <c r="D36" s="148">
        <v>0</v>
      </c>
      <c r="E36" s="148">
        <v>80000</v>
      </c>
      <c r="F36" s="148">
        <v>145000</v>
      </c>
      <c r="G36" s="148">
        <v>135000</v>
      </c>
      <c r="H36" s="148">
        <v>110000</v>
      </c>
      <c r="I36" s="148">
        <v>500000</v>
      </c>
    </row>
    <row r="37" spans="1:9" ht="12.75">
      <c r="A37" s="160" t="s">
        <v>126</v>
      </c>
      <c r="B37" s="147" t="s">
        <v>279</v>
      </c>
      <c r="C37" s="148">
        <v>187000</v>
      </c>
      <c r="D37" s="148">
        <v>14000</v>
      </c>
      <c r="E37" s="148">
        <v>330000</v>
      </c>
      <c r="F37" s="148">
        <v>109000</v>
      </c>
      <c r="G37" s="148">
        <v>105000</v>
      </c>
      <c r="H37" s="148">
        <v>35000</v>
      </c>
      <c r="I37" s="148">
        <v>780000</v>
      </c>
    </row>
    <row r="38" spans="1:9" ht="12.75">
      <c r="A38" s="160" t="s">
        <v>132</v>
      </c>
      <c r="B38" s="147" t="s">
        <v>282</v>
      </c>
      <c r="C38" s="148">
        <v>151000</v>
      </c>
      <c r="D38" s="148">
        <v>37750</v>
      </c>
      <c r="E38" s="148">
        <v>339750</v>
      </c>
      <c r="F38" s="148">
        <v>113250</v>
      </c>
      <c r="G38" s="148">
        <v>75500</v>
      </c>
      <c r="H38" s="148">
        <v>37750</v>
      </c>
      <c r="I38" s="148">
        <v>755000</v>
      </c>
    </row>
    <row r="39" spans="1:9" ht="12.75">
      <c r="A39" s="160" t="s">
        <v>854</v>
      </c>
      <c r="B39" s="147" t="s">
        <v>286</v>
      </c>
      <c r="C39" s="148">
        <v>232500</v>
      </c>
      <c r="D39" s="148">
        <v>15000</v>
      </c>
      <c r="E39" s="148">
        <v>37500</v>
      </c>
      <c r="F39" s="148">
        <v>232500</v>
      </c>
      <c r="G39" s="148">
        <v>7500</v>
      </c>
      <c r="H39" s="148">
        <v>225000</v>
      </c>
      <c r="I39" s="148">
        <v>750000</v>
      </c>
    </row>
    <row r="40" spans="1:9" ht="12.75">
      <c r="A40" s="160" t="s">
        <v>123</v>
      </c>
      <c r="B40" s="147" t="s">
        <v>287</v>
      </c>
      <c r="C40" s="148">
        <v>102000</v>
      </c>
      <c r="D40" s="148">
        <v>8000</v>
      </c>
      <c r="E40" s="148">
        <v>35000</v>
      </c>
      <c r="F40" s="148">
        <v>10000</v>
      </c>
      <c r="G40" s="148">
        <v>0</v>
      </c>
      <c r="H40" s="148">
        <v>15000</v>
      </c>
      <c r="I40" s="148">
        <v>170000</v>
      </c>
    </row>
    <row r="41" spans="1:9" ht="12.75">
      <c r="A41" s="160" t="s">
        <v>133</v>
      </c>
      <c r="B41" s="147" t="s">
        <v>288</v>
      </c>
      <c r="C41" s="148">
        <v>116000</v>
      </c>
      <c r="D41" s="148">
        <v>31000</v>
      </c>
      <c r="E41" s="148">
        <v>0</v>
      </c>
      <c r="F41" s="148">
        <v>41000</v>
      </c>
      <c r="G41" s="148">
        <v>0</v>
      </c>
      <c r="H41" s="148">
        <v>96000</v>
      </c>
      <c r="I41" s="148">
        <v>284000</v>
      </c>
    </row>
    <row r="42" spans="1:9" s="107" customFormat="1" ht="12.75">
      <c r="A42" s="150"/>
      <c r="B42" s="159" t="s">
        <v>1672</v>
      </c>
      <c r="C42" s="157">
        <v>3608810</v>
      </c>
      <c r="D42" s="157">
        <v>3017420</v>
      </c>
      <c r="E42" s="157">
        <v>5453060</v>
      </c>
      <c r="F42" s="157">
        <v>1684190</v>
      </c>
      <c r="G42" s="157">
        <v>3954790</v>
      </c>
      <c r="H42" s="157">
        <v>1545890</v>
      </c>
      <c r="I42" s="157">
        <v>19264160</v>
      </c>
    </row>
    <row r="44" ht="18">
      <c r="A44" s="88" t="s">
        <v>10</v>
      </c>
    </row>
    <row r="46" spans="1:8" s="107" customFormat="1" ht="12.75">
      <c r="A46" s="151"/>
      <c r="B46" s="152" t="s">
        <v>410</v>
      </c>
      <c r="C46" s="153" t="s">
        <v>411</v>
      </c>
      <c r="D46" s="101"/>
      <c r="E46" s="101"/>
      <c r="F46" s="101"/>
      <c r="G46" s="101"/>
      <c r="H46" s="101"/>
    </row>
    <row r="47" spans="1:9" s="107" customFormat="1" ht="12.75">
      <c r="A47" s="156" t="s">
        <v>324</v>
      </c>
      <c r="B47" s="152" t="s">
        <v>409</v>
      </c>
      <c r="C47" s="101" t="s">
        <v>314</v>
      </c>
      <c r="D47" s="101" t="s">
        <v>407</v>
      </c>
      <c r="E47" s="101" t="s">
        <v>315</v>
      </c>
      <c r="F47" s="101" t="s">
        <v>316</v>
      </c>
      <c r="G47" s="101" t="s">
        <v>193</v>
      </c>
      <c r="H47" s="101" t="s">
        <v>194</v>
      </c>
      <c r="I47" s="154" t="s">
        <v>1672</v>
      </c>
    </row>
    <row r="48" spans="1:9" ht="12.75">
      <c r="A48" s="160" t="s">
        <v>834</v>
      </c>
      <c r="B48" s="147" t="s">
        <v>341</v>
      </c>
      <c r="C48" s="141">
        <v>0.08</v>
      </c>
      <c r="D48" s="141">
        <v>0.08</v>
      </c>
      <c r="E48" s="141">
        <v>0</v>
      </c>
      <c r="F48" s="141">
        <v>0.28</v>
      </c>
      <c r="G48" s="141">
        <v>0.48</v>
      </c>
      <c r="H48" s="141">
        <v>0.08</v>
      </c>
      <c r="I48" s="155">
        <v>1</v>
      </c>
    </row>
    <row r="49" spans="1:9" ht="12.75">
      <c r="A49" s="160" t="s">
        <v>1099</v>
      </c>
      <c r="B49" s="147" t="s">
        <v>350</v>
      </c>
      <c r="C49" s="141">
        <v>0</v>
      </c>
      <c r="D49" s="141">
        <v>0.08888888888888889</v>
      </c>
      <c r="E49" s="141">
        <v>0.9111111111111111</v>
      </c>
      <c r="F49" s="141">
        <v>0</v>
      </c>
      <c r="G49" s="141">
        <v>0</v>
      </c>
      <c r="H49" s="141">
        <v>0</v>
      </c>
      <c r="I49" s="155">
        <v>1</v>
      </c>
    </row>
    <row r="50" spans="1:9" ht="12.75">
      <c r="A50" s="160" t="s">
        <v>854</v>
      </c>
      <c r="B50" s="147" t="s">
        <v>554</v>
      </c>
      <c r="C50" s="141">
        <v>0.57</v>
      </c>
      <c r="D50" s="141">
        <v>0.04</v>
      </c>
      <c r="E50" s="141">
        <v>0</v>
      </c>
      <c r="F50" s="141">
        <v>0</v>
      </c>
      <c r="G50" s="141">
        <v>0.37</v>
      </c>
      <c r="H50" s="141">
        <v>0.02</v>
      </c>
      <c r="I50" s="155">
        <v>1</v>
      </c>
    </row>
    <row r="51" spans="1:9" ht="12.75">
      <c r="A51" s="160" t="s">
        <v>1255</v>
      </c>
      <c r="B51" s="147" t="s">
        <v>553</v>
      </c>
      <c r="C51" s="141">
        <v>0.045454545454545456</v>
      </c>
      <c r="D51" s="141">
        <v>0.2575757575757576</v>
      </c>
      <c r="E51" s="141">
        <v>0.3939393939393939</v>
      </c>
      <c r="F51" s="141">
        <v>0.015151515151515152</v>
      </c>
      <c r="G51" s="141">
        <v>0.2727272727272727</v>
      </c>
      <c r="H51" s="141">
        <v>0.015151515151515152</v>
      </c>
      <c r="I51" s="155">
        <v>1</v>
      </c>
    </row>
    <row r="52" spans="1:9" ht="12.75">
      <c r="A52" s="160" t="s">
        <v>120</v>
      </c>
      <c r="B52" s="147" t="s">
        <v>352</v>
      </c>
      <c r="C52" s="141">
        <v>0.04</v>
      </c>
      <c r="D52" s="141">
        <v>0</v>
      </c>
      <c r="E52" s="141">
        <v>0.65</v>
      </c>
      <c r="F52" s="141">
        <v>0</v>
      </c>
      <c r="G52" s="141">
        <v>0.3</v>
      </c>
      <c r="H52" s="141">
        <v>0.01</v>
      </c>
      <c r="I52" s="155">
        <v>1</v>
      </c>
    </row>
    <row r="53" spans="1:9" ht="12.75">
      <c r="A53" s="160" t="s">
        <v>120</v>
      </c>
      <c r="B53" s="147" t="s">
        <v>342</v>
      </c>
      <c r="C53" s="141">
        <v>0.0625</v>
      </c>
      <c r="D53" s="141">
        <v>0.489375</v>
      </c>
      <c r="E53" s="141">
        <v>0.173125</v>
      </c>
      <c r="F53" s="141">
        <v>0.003125</v>
      </c>
      <c r="G53" s="141">
        <v>0.25</v>
      </c>
      <c r="H53" s="141">
        <v>0.021875</v>
      </c>
      <c r="I53" s="155">
        <v>1</v>
      </c>
    </row>
    <row r="54" spans="1:9" ht="12.75">
      <c r="A54" s="160" t="s">
        <v>121</v>
      </c>
      <c r="B54" s="147" t="s">
        <v>445</v>
      </c>
      <c r="C54" s="141">
        <v>0.1</v>
      </c>
      <c r="D54" s="141">
        <v>0.05</v>
      </c>
      <c r="E54" s="141">
        <v>0.3</v>
      </c>
      <c r="F54" s="141">
        <v>0.05</v>
      </c>
      <c r="G54" s="141">
        <v>0.4</v>
      </c>
      <c r="H54" s="141">
        <v>0.1</v>
      </c>
      <c r="I54" s="155">
        <v>1</v>
      </c>
    </row>
    <row r="55" spans="1:9" ht="12.75">
      <c r="A55" s="160" t="s">
        <v>927</v>
      </c>
      <c r="B55" s="147" t="s">
        <v>349</v>
      </c>
      <c r="C55" s="141">
        <v>0.25</v>
      </c>
      <c r="D55" s="141">
        <v>0.07</v>
      </c>
      <c r="E55" s="141">
        <v>0.5</v>
      </c>
      <c r="F55" s="141">
        <v>0.13</v>
      </c>
      <c r="G55" s="141">
        <v>0</v>
      </c>
      <c r="H55" s="141">
        <v>0.05</v>
      </c>
      <c r="I55" s="155">
        <v>1</v>
      </c>
    </row>
    <row r="56" spans="1:9" ht="12.75">
      <c r="A56" s="160" t="s">
        <v>125</v>
      </c>
      <c r="B56" s="147" t="s">
        <v>444</v>
      </c>
      <c r="C56" s="141">
        <v>0.3</v>
      </c>
      <c r="D56" s="141">
        <v>0</v>
      </c>
      <c r="E56" s="141">
        <v>0.5</v>
      </c>
      <c r="F56" s="141">
        <v>0.05</v>
      </c>
      <c r="G56" s="141">
        <v>0.1</v>
      </c>
      <c r="H56" s="141">
        <v>0.05</v>
      </c>
      <c r="I56" s="155">
        <v>1</v>
      </c>
    </row>
    <row r="57" spans="1:9" ht="12.75">
      <c r="A57" s="160" t="s">
        <v>122</v>
      </c>
      <c r="B57" s="147" t="s">
        <v>343</v>
      </c>
      <c r="C57" s="141">
        <v>0.4</v>
      </c>
      <c r="D57" s="141">
        <v>0</v>
      </c>
      <c r="E57" s="141">
        <v>0.3</v>
      </c>
      <c r="F57" s="141">
        <v>0</v>
      </c>
      <c r="G57" s="141">
        <v>0.2</v>
      </c>
      <c r="H57" s="141">
        <v>0.1</v>
      </c>
      <c r="I57" s="155">
        <v>1</v>
      </c>
    </row>
    <row r="58" spans="1:9" ht="12.75">
      <c r="A58" s="160" t="s">
        <v>854</v>
      </c>
      <c r="B58" s="147" t="s">
        <v>436</v>
      </c>
      <c r="C58" s="141">
        <v>0.15</v>
      </c>
      <c r="D58" s="141">
        <v>0</v>
      </c>
      <c r="E58" s="141">
        <v>0.5</v>
      </c>
      <c r="F58" s="141">
        <v>0.15</v>
      </c>
      <c r="G58" s="141">
        <v>0</v>
      </c>
      <c r="H58" s="141">
        <v>0.2</v>
      </c>
      <c r="I58" s="155">
        <v>1</v>
      </c>
    </row>
    <row r="59" spans="1:9" ht="12.75">
      <c r="A59" s="160" t="s">
        <v>123</v>
      </c>
      <c r="B59" s="147" t="s">
        <v>437</v>
      </c>
      <c r="C59" s="141">
        <v>0.7000000000000001</v>
      </c>
      <c r="D59" s="141">
        <v>0.29</v>
      </c>
      <c r="E59" s="141">
        <v>0</v>
      </c>
      <c r="F59" s="141">
        <v>0</v>
      </c>
      <c r="G59" s="141">
        <v>0.010000000000000002</v>
      </c>
      <c r="H59" s="141">
        <v>0</v>
      </c>
      <c r="I59" s="155">
        <v>1</v>
      </c>
    </row>
    <row r="60" spans="1:9" ht="12.75">
      <c r="A60" s="160" t="s">
        <v>124</v>
      </c>
      <c r="B60" s="147" t="s">
        <v>438</v>
      </c>
      <c r="C60" s="141">
        <v>0.33</v>
      </c>
      <c r="D60" s="141">
        <v>0.1</v>
      </c>
      <c r="E60" s="141">
        <v>0.23</v>
      </c>
      <c r="F60" s="141">
        <v>0.24</v>
      </c>
      <c r="G60" s="141">
        <v>0</v>
      </c>
      <c r="H60" s="141">
        <v>0.1</v>
      </c>
      <c r="I60" s="155">
        <v>1</v>
      </c>
    </row>
    <row r="61" spans="1:9" ht="12.75">
      <c r="A61" s="160" t="s">
        <v>125</v>
      </c>
      <c r="B61" s="147" t="s">
        <v>446</v>
      </c>
      <c r="C61" s="141">
        <v>0.08</v>
      </c>
      <c r="D61" s="141">
        <v>0.02</v>
      </c>
      <c r="E61" s="141">
        <v>0.2</v>
      </c>
      <c r="F61" s="141">
        <v>0.25</v>
      </c>
      <c r="G61" s="141">
        <v>0.43</v>
      </c>
      <c r="H61" s="141">
        <v>0.02</v>
      </c>
      <c r="I61" s="155">
        <v>1</v>
      </c>
    </row>
    <row r="62" spans="1:9" ht="12.75">
      <c r="A62" s="160" t="s">
        <v>146</v>
      </c>
      <c r="B62" s="147" t="s">
        <v>550</v>
      </c>
      <c r="C62" s="141">
        <v>0.3375</v>
      </c>
      <c r="D62" s="141">
        <v>0.275</v>
      </c>
      <c r="E62" s="141">
        <v>0</v>
      </c>
      <c r="F62" s="141">
        <v>0.175</v>
      </c>
      <c r="G62" s="141">
        <v>0.0375</v>
      </c>
      <c r="H62" s="141">
        <v>0.175</v>
      </c>
      <c r="I62" s="155">
        <v>1</v>
      </c>
    </row>
    <row r="63" spans="1:9" ht="12.75">
      <c r="A63" s="160" t="s">
        <v>126</v>
      </c>
      <c r="B63" s="147" t="s">
        <v>351</v>
      </c>
      <c r="C63" s="141">
        <v>0.1</v>
      </c>
      <c r="D63" s="141">
        <v>0.4</v>
      </c>
      <c r="E63" s="141">
        <v>0.4</v>
      </c>
      <c r="F63" s="141">
        <v>0</v>
      </c>
      <c r="G63" s="141">
        <v>0</v>
      </c>
      <c r="H63" s="141">
        <v>0.1</v>
      </c>
      <c r="I63" s="155">
        <v>1</v>
      </c>
    </row>
    <row r="64" spans="1:9" ht="12.75">
      <c r="A64" s="160" t="s">
        <v>191</v>
      </c>
      <c r="B64" s="147" t="s">
        <v>439</v>
      </c>
      <c r="C64" s="141">
        <v>0.347</v>
      </c>
      <c r="D64" s="141">
        <v>0.076</v>
      </c>
      <c r="E64" s="141">
        <v>0.474</v>
      </c>
      <c r="F64" s="141">
        <v>0.021</v>
      </c>
      <c r="G64" s="141">
        <v>0.053</v>
      </c>
      <c r="H64" s="141">
        <v>0.029</v>
      </c>
      <c r="I64" s="155">
        <v>1</v>
      </c>
    </row>
    <row r="65" spans="1:9" ht="12.75">
      <c r="A65" s="160" t="s">
        <v>127</v>
      </c>
      <c r="B65" s="147" t="s">
        <v>353</v>
      </c>
      <c r="C65" s="141">
        <v>0.31</v>
      </c>
      <c r="D65" s="141">
        <v>0.02</v>
      </c>
      <c r="E65" s="141">
        <v>0</v>
      </c>
      <c r="F65" s="141">
        <v>0</v>
      </c>
      <c r="G65" s="141">
        <v>0.61</v>
      </c>
      <c r="H65" s="141">
        <v>0.06</v>
      </c>
      <c r="I65" s="155">
        <v>1</v>
      </c>
    </row>
    <row r="66" spans="1:9" ht="12.75">
      <c r="A66" s="160" t="s">
        <v>128</v>
      </c>
      <c r="B66" s="147" t="s">
        <v>551</v>
      </c>
      <c r="C66" s="141">
        <v>0.013513513513513514</v>
      </c>
      <c r="D66" s="141">
        <v>0.28378378378378377</v>
      </c>
      <c r="E66" s="141">
        <v>0.23648648648648649</v>
      </c>
      <c r="F66" s="141">
        <v>0.033783783783783786</v>
      </c>
      <c r="G66" s="141">
        <v>0.3108108108108108</v>
      </c>
      <c r="H66" s="141">
        <v>0.12162162162162163</v>
      </c>
      <c r="I66" s="155">
        <v>1</v>
      </c>
    </row>
    <row r="67" spans="1:9" ht="12.75">
      <c r="A67" s="160" t="s">
        <v>129</v>
      </c>
      <c r="B67" s="147" t="s">
        <v>552</v>
      </c>
      <c r="C67" s="141">
        <v>0.16</v>
      </c>
      <c r="D67" s="141">
        <v>0.06</v>
      </c>
      <c r="E67" s="141">
        <v>0.34</v>
      </c>
      <c r="F67" s="141">
        <v>0.16</v>
      </c>
      <c r="G67" s="141">
        <v>0.15</v>
      </c>
      <c r="H67" s="141">
        <v>0.13</v>
      </c>
      <c r="I67" s="155">
        <v>1</v>
      </c>
    </row>
    <row r="68" spans="1:9" ht="12.75">
      <c r="A68" s="160" t="s">
        <v>1124</v>
      </c>
      <c r="B68" s="147" t="s">
        <v>281</v>
      </c>
      <c r="C68" s="141">
        <v>0.05</v>
      </c>
      <c r="D68" s="141">
        <v>0.54</v>
      </c>
      <c r="E68" s="141">
        <v>0.2</v>
      </c>
      <c r="F68" s="141">
        <v>0</v>
      </c>
      <c r="G68" s="141">
        <v>0.2</v>
      </c>
      <c r="H68" s="141">
        <v>0.01</v>
      </c>
      <c r="I68" s="155">
        <v>1</v>
      </c>
    </row>
    <row r="69" spans="1:9" ht="12.75">
      <c r="A69" s="160" t="s">
        <v>130</v>
      </c>
      <c r="B69" s="147" t="s">
        <v>408</v>
      </c>
      <c r="C69" s="141">
        <v>0.18</v>
      </c>
      <c r="D69" s="141">
        <v>0</v>
      </c>
      <c r="E69" s="141">
        <v>0.58</v>
      </c>
      <c r="F69" s="141">
        <v>0</v>
      </c>
      <c r="G69" s="141">
        <v>0.19</v>
      </c>
      <c r="H69" s="141">
        <v>0.05</v>
      </c>
      <c r="I69" s="155">
        <v>1</v>
      </c>
    </row>
    <row r="70" spans="1:9" ht="12.75">
      <c r="A70" s="160" t="s">
        <v>1161</v>
      </c>
      <c r="B70" s="147" t="s">
        <v>283</v>
      </c>
      <c r="C70" s="141">
        <v>0</v>
      </c>
      <c r="D70" s="141">
        <v>0</v>
      </c>
      <c r="E70" s="141">
        <v>0.022727272727272728</v>
      </c>
      <c r="F70" s="141">
        <v>0.1590909090909091</v>
      </c>
      <c r="G70" s="141">
        <v>0.6818181818181818</v>
      </c>
      <c r="H70" s="141">
        <v>0.13636363636363635</v>
      </c>
      <c r="I70" s="155">
        <v>1</v>
      </c>
    </row>
    <row r="71" spans="1:9" ht="12.75">
      <c r="A71" s="160" t="s">
        <v>131</v>
      </c>
      <c r="B71" s="147" t="s">
        <v>277</v>
      </c>
      <c r="C71" s="141">
        <v>0.1</v>
      </c>
      <c r="D71" s="141">
        <v>0.13</v>
      </c>
      <c r="E71" s="141">
        <v>0.05</v>
      </c>
      <c r="F71" s="141">
        <v>0.1</v>
      </c>
      <c r="G71" s="141">
        <v>0.55</v>
      </c>
      <c r="H71" s="141">
        <v>0.07</v>
      </c>
      <c r="I71" s="155">
        <v>1</v>
      </c>
    </row>
    <row r="72" spans="1:9" ht="12.75">
      <c r="A72" s="160" t="s">
        <v>1167</v>
      </c>
      <c r="B72" s="147" t="s">
        <v>278</v>
      </c>
      <c r="C72" s="141">
        <v>0.06</v>
      </c>
      <c r="D72" s="141">
        <v>0</v>
      </c>
      <c r="E72" s="141">
        <v>0.16</v>
      </c>
      <c r="F72" s="141">
        <v>0.29</v>
      </c>
      <c r="G72" s="141">
        <v>0.27</v>
      </c>
      <c r="H72" s="141">
        <v>0.22</v>
      </c>
      <c r="I72" s="155">
        <v>1</v>
      </c>
    </row>
    <row r="73" spans="1:9" ht="12.75">
      <c r="A73" s="160" t="s">
        <v>126</v>
      </c>
      <c r="B73" s="147" t="s">
        <v>279</v>
      </c>
      <c r="C73" s="141">
        <v>0.23974358974358975</v>
      </c>
      <c r="D73" s="141">
        <v>0.017948717948717947</v>
      </c>
      <c r="E73" s="141">
        <v>0.4230769230769231</v>
      </c>
      <c r="F73" s="141">
        <v>0.13974358974358975</v>
      </c>
      <c r="G73" s="141">
        <v>0.1346153846153846</v>
      </c>
      <c r="H73" s="141">
        <v>0.04487179487179487</v>
      </c>
      <c r="I73" s="155">
        <v>1</v>
      </c>
    </row>
    <row r="74" spans="1:9" ht="12.75">
      <c r="A74" s="160" t="s">
        <v>132</v>
      </c>
      <c r="B74" s="147" t="s">
        <v>282</v>
      </c>
      <c r="C74" s="141">
        <v>0.2</v>
      </c>
      <c r="D74" s="141">
        <v>0.05</v>
      </c>
      <c r="E74" s="141">
        <v>0.45</v>
      </c>
      <c r="F74" s="141">
        <v>0.15</v>
      </c>
      <c r="G74" s="141">
        <v>0.1</v>
      </c>
      <c r="H74" s="141">
        <v>0.05</v>
      </c>
      <c r="I74" s="155">
        <v>1</v>
      </c>
    </row>
    <row r="75" spans="1:9" ht="12.75">
      <c r="A75" s="160" t="s">
        <v>854</v>
      </c>
      <c r="B75" s="147" t="s">
        <v>286</v>
      </c>
      <c r="C75" s="141">
        <v>0.31</v>
      </c>
      <c r="D75" s="141">
        <v>0.02</v>
      </c>
      <c r="E75" s="141">
        <v>0.05</v>
      </c>
      <c r="F75" s="141">
        <v>0.31</v>
      </c>
      <c r="G75" s="141">
        <v>0.01</v>
      </c>
      <c r="H75" s="141">
        <v>0.3</v>
      </c>
      <c r="I75" s="155">
        <v>1</v>
      </c>
    </row>
    <row r="76" spans="1:9" ht="12.75">
      <c r="A76" s="160" t="s">
        <v>123</v>
      </c>
      <c r="B76" s="147" t="s">
        <v>287</v>
      </c>
      <c r="C76" s="141">
        <v>0.6</v>
      </c>
      <c r="D76" s="141">
        <v>0.047058823529411764</v>
      </c>
      <c r="E76" s="141">
        <v>0.20588235294117646</v>
      </c>
      <c r="F76" s="141">
        <v>0.058823529411764705</v>
      </c>
      <c r="G76" s="141">
        <v>0</v>
      </c>
      <c r="H76" s="141">
        <v>0.08823529411764706</v>
      </c>
      <c r="I76" s="155">
        <v>1</v>
      </c>
    </row>
    <row r="77" spans="1:9" ht="12.75">
      <c r="A77" s="160" t="s">
        <v>133</v>
      </c>
      <c r="B77" s="147" t="s">
        <v>288</v>
      </c>
      <c r="C77" s="141">
        <v>0.4084507042253521</v>
      </c>
      <c r="D77" s="141">
        <v>0.10915492957746478</v>
      </c>
      <c r="E77" s="141">
        <v>0</v>
      </c>
      <c r="F77" s="141">
        <v>0.1443661971830986</v>
      </c>
      <c r="G77" s="141">
        <v>0</v>
      </c>
      <c r="H77" s="141">
        <v>0.3380281690140845</v>
      </c>
      <c r="I77" s="155">
        <v>1</v>
      </c>
    </row>
    <row r="78" spans="1:9" s="107" customFormat="1" ht="12.75">
      <c r="A78" s="150"/>
      <c r="B78" s="159" t="s">
        <v>1672</v>
      </c>
      <c r="C78" s="103">
        <v>0.18733285022549648</v>
      </c>
      <c r="D78" s="103">
        <v>0.15663387347281169</v>
      </c>
      <c r="E78" s="103">
        <v>0.2830676240230563</v>
      </c>
      <c r="F78" s="103">
        <v>0.08742608034816987</v>
      </c>
      <c r="G78" s="103">
        <v>0.20529262630709047</v>
      </c>
      <c r="H78" s="103">
        <v>0.08024694562337523</v>
      </c>
      <c r="I78" s="158">
        <v>1</v>
      </c>
    </row>
  </sheetData>
  <sheetProtection/>
  <printOptions/>
  <pageMargins left="0.7" right="0.7" top="0.75" bottom="0.75" header="0.3" footer="0.3"/>
  <pageSetup fitToHeight="1" fitToWidth="1" horizontalDpi="600" verticalDpi="600" orientation="portrait" scale="71"/>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2:L250"/>
  <sheetViews>
    <sheetView zoomScalePageLayoutView="0" workbookViewId="0" topLeftCell="A36">
      <selection activeCell="L71" sqref="E39:L71"/>
    </sheetView>
  </sheetViews>
  <sheetFormatPr defaultColWidth="8.8515625" defaultRowHeight="12.75"/>
  <cols>
    <col min="1" max="1" width="13.8515625" style="13" bestFit="1" customWidth="1"/>
    <col min="2" max="2" width="10.421875" style="13" bestFit="1" customWidth="1"/>
    <col min="3" max="3" width="11.7109375" style="13" bestFit="1" customWidth="1"/>
    <col min="4" max="4" width="9.421875" style="13" bestFit="1" customWidth="1"/>
    <col min="5" max="5" width="14.8515625" style="13" customWidth="1"/>
    <col min="6" max="6" width="7.7109375" style="13" customWidth="1"/>
    <col min="7" max="7" width="8.140625" style="13" customWidth="1"/>
    <col min="8" max="8" width="13.28125" style="13" customWidth="1"/>
    <col min="9" max="9" width="12.421875" style="13" customWidth="1"/>
    <col min="10" max="10" width="12.8515625" style="13" customWidth="1"/>
    <col min="11" max="11" width="13.28125" style="13" customWidth="1"/>
    <col min="12" max="12" width="12.7109375" style="13" customWidth="1"/>
    <col min="13" max="13" width="9.421875" style="13" bestFit="1" customWidth="1"/>
    <col min="14" max="14" width="9.8515625" style="13" bestFit="1" customWidth="1"/>
    <col min="15" max="16" width="9.421875" style="13" bestFit="1" customWidth="1"/>
    <col min="17" max="17" width="14.00390625" style="13" bestFit="1" customWidth="1"/>
    <col min="18" max="18" width="9.421875" style="13" bestFit="1" customWidth="1"/>
    <col min="19" max="20" width="9.8515625" style="13" bestFit="1" customWidth="1"/>
    <col min="21" max="21" width="8.421875" style="13" bestFit="1" customWidth="1"/>
    <col min="22" max="22" width="11.140625" style="13" bestFit="1" customWidth="1"/>
    <col min="23" max="23" width="9.421875" style="13" bestFit="1" customWidth="1"/>
    <col min="24" max="24" width="13.28125" style="13" bestFit="1" customWidth="1"/>
    <col min="25" max="25" width="9.8515625" style="13" bestFit="1" customWidth="1"/>
    <col min="26" max="26" width="9.421875" style="13" bestFit="1" customWidth="1"/>
    <col min="27" max="29" width="12.421875" style="13" bestFit="1" customWidth="1"/>
    <col min="30" max="30" width="13.421875" style="13" bestFit="1" customWidth="1"/>
    <col min="31" max="31" width="10.8515625" style="13" bestFit="1" customWidth="1"/>
    <col min="32" max="32" width="9.421875" style="13" bestFit="1" customWidth="1"/>
    <col min="33" max="16384" width="8.8515625" style="13" customWidth="1"/>
  </cols>
  <sheetData>
    <row r="2" spans="1:3" ht="12.75">
      <c r="A2" s="18" t="s">
        <v>189</v>
      </c>
      <c r="B2" s="17" t="s">
        <v>137</v>
      </c>
      <c r="C2" s="17" t="s">
        <v>138</v>
      </c>
    </row>
    <row r="3" spans="1:12" ht="12.75">
      <c r="A3" s="14" t="s">
        <v>341</v>
      </c>
      <c r="B3" s="15">
        <v>3280</v>
      </c>
      <c r="C3" s="14" t="s">
        <v>194</v>
      </c>
      <c r="E3" s="67" t="s">
        <v>410</v>
      </c>
      <c r="F3" s="84" t="s">
        <v>411</v>
      </c>
      <c r="G3" s="81"/>
      <c r="H3" s="81"/>
      <c r="I3" s="81"/>
      <c r="J3" s="81"/>
      <c r="K3" s="81"/>
      <c r="L3"/>
    </row>
    <row r="4" spans="1:12" ht="12.75">
      <c r="A4" s="14" t="s">
        <v>341</v>
      </c>
      <c r="B4" s="15">
        <v>19680</v>
      </c>
      <c r="C4" s="14" t="s">
        <v>193</v>
      </c>
      <c r="E4" s="67" t="s">
        <v>409</v>
      </c>
      <c r="F4" s="81" t="s">
        <v>314</v>
      </c>
      <c r="G4" s="81" t="s">
        <v>407</v>
      </c>
      <c r="H4" s="81" t="s">
        <v>315</v>
      </c>
      <c r="I4" s="81" t="s">
        <v>316</v>
      </c>
      <c r="J4" s="81" t="s">
        <v>193</v>
      </c>
      <c r="K4" s="81" t="s">
        <v>194</v>
      </c>
      <c r="L4" t="s">
        <v>1672</v>
      </c>
    </row>
    <row r="5" spans="1:12" ht="12.75">
      <c r="A5" s="14" t="s">
        <v>341</v>
      </c>
      <c r="B5" s="15">
        <v>0</v>
      </c>
      <c r="C5" s="14" t="s">
        <v>315</v>
      </c>
      <c r="E5" s="5" t="s">
        <v>341</v>
      </c>
      <c r="F5" s="85">
        <v>3280</v>
      </c>
      <c r="G5" s="85">
        <v>3280</v>
      </c>
      <c r="H5" s="85">
        <v>0</v>
      </c>
      <c r="I5" s="85">
        <v>11480.000000000002</v>
      </c>
      <c r="J5" s="85">
        <v>19680</v>
      </c>
      <c r="K5" s="85">
        <v>3280</v>
      </c>
      <c r="L5" s="82">
        <v>41000</v>
      </c>
    </row>
    <row r="6" spans="1:12" ht="12.75">
      <c r="A6" s="14" t="s">
        <v>341</v>
      </c>
      <c r="B6" s="15">
        <v>3280</v>
      </c>
      <c r="C6" s="14" t="s">
        <v>314</v>
      </c>
      <c r="E6" s="5" t="s">
        <v>350</v>
      </c>
      <c r="F6" s="85">
        <v>0</v>
      </c>
      <c r="G6" s="85">
        <v>8000</v>
      </c>
      <c r="H6" s="85">
        <v>82000</v>
      </c>
      <c r="I6" s="85">
        <v>0</v>
      </c>
      <c r="J6" s="85">
        <v>0</v>
      </c>
      <c r="K6" s="85">
        <v>0</v>
      </c>
      <c r="L6" s="82">
        <v>90000</v>
      </c>
    </row>
    <row r="7" spans="1:12" ht="12.75">
      <c r="A7" s="14" t="s">
        <v>341</v>
      </c>
      <c r="B7" s="15">
        <v>11480.000000000002</v>
      </c>
      <c r="C7" s="14" t="s">
        <v>316</v>
      </c>
      <c r="E7" s="5" t="s">
        <v>554</v>
      </c>
      <c r="F7" s="85">
        <v>512999.99999999994</v>
      </c>
      <c r="G7" s="85">
        <v>36000</v>
      </c>
      <c r="H7" s="85">
        <v>0</v>
      </c>
      <c r="I7" s="85">
        <v>0</v>
      </c>
      <c r="J7" s="85">
        <v>333000</v>
      </c>
      <c r="K7" s="85">
        <v>18000</v>
      </c>
      <c r="L7" s="82">
        <v>900000</v>
      </c>
    </row>
    <row r="8" spans="1:12" ht="12.75">
      <c r="A8" s="14" t="s">
        <v>341</v>
      </c>
      <c r="B8" s="15">
        <v>3280</v>
      </c>
      <c r="C8" s="14" t="s">
        <v>407</v>
      </c>
      <c r="E8" s="5" t="s">
        <v>553</v>
      </c>
      <c r="F8" s="85">
        <v>20280</v>
      </c>
      <c r="G8" s="85">
        <v>114920.00000000001</v>
      </c>
      <c r="H8" s="85">
        <v>175760</v>
      </c>
      <c r="I8" s="85">
        <v>6760</v>
      </c>
      <c r="J8" s="85">
        <v>121680</v>
      </c>
      <c r="K8" s="85">
        <v>6760</v>
      </c>
      <c r="L8" s="82">
        <v>446160</v>
      </c>
    </row>
    <row r="9" spans="1:12" ht="12.75">
      <c r="A9" s="14" t="s">
        <v>350</v>
      </c>
      <c r="B9" s="15">
        <v>0</v>
      </c>
      <c r="C9" s="14" t="s">
        <v>194</v>
      </c>
      <c r="E9" s="5" t="s">
        <v>352</v>
      </c>
      <c r="F9" s="85">
        <v>18000</v>
      </c>
      <c r="G9" s="85">
        <v>0</v>
      </c>
      <c r="H9" s="85">
        <v>292500</v>
      </c>
      <c r="I9" s="85">
        <v>0</v>
      </c>
      <c r="J9" s="85">
        <v>135000</v>
      </c>
      <c r="K9" s="85">
        <v>4500</v>
      </c>
      <c r="L9" s="82">
        <v>450000</v>
      </c>
    </row>
    <row r="10" spans="1:12" ht="12.75">
      <c r="A10" s="14" t="s">
        <v>350</v>
      </c>
      <c r="B10" s="15">
        <v>0</v>
      </c>
      <c r="C10" s="14" t="s">
        <v>193</v>
      </c>
      <c r="E10" s="5" t="s">
        <v>342</v>
      </c>
      <c r="F10" s="85">
        <v>100000</v>
      </c>
      <c r="G10" s="85">
        <v>783000</v>
      </c>
      <c r="H10" s="85">
        <v>277000</v>
      </c>
      <c r="I10" s="85">
        <v>5000</v>
      </c>
      <c r="J10" s="85">
        <v>400000</v>
      </c>
      <c r="K10" s="85">
        <v>35000</v>
      </c>
      <c r="L10" s="82">
        <v>1600000</v>
      </c>
    </row>
    <row r="11" spans="1:12" ht="12.75">
      <c r="A11" s="14" t="s">
        <v>350</v>
      </c>
      <c r="B11" s="15">
        <v>82000</v>
      </c>
      <c r="C11" s="14" t="s">
        <v>315</v>
      </c>
      <c r="E11" s="5" t="s">
        <v>445</v>
      </c>
      <c r="F11" s="85">
        <v>70000</v>
      </c>
      <c r="G11" s="85">
        <v>35000</v>
      </c>
      <c r="H11" s="85">
        <v>210000</v>
      </c>
      <c r="I11" s="85">
        <v>35000</v>
      </c>
      <c r="J11" s="85">
        <v>280000</v>
      </c>
      <c r="K11" s="85">
        <v>70000</v>
      </c>
      <c r="L11" s="82">
        <v>700000</v>
      </c>
    </row>
    <row r="12" spans="1:12" ht="12.75">
      <c r="A12" s="14" t="s">
        <v>350</v>
      </c>
      <c r="B12" s="15">
        <v>0</v>
      </c>
      <c r="C12" s="14" t="s">
        <v>314</v>
      </c>
      <c r="E12" s="5" t="s">
        <v>349</v>
      </c>
      <c r="F12" s="85">
        <v>187500</v>
      </c>
      <c r="G12" s="85">
        <v>52500.00000000001</v>
      </c>
      <c r="H12" s="85">
        <v>375000</v>
      </c>
      <c r="I12" s="85">
        <v>97500</v>
      </c>
      <c r="J12" s="85">
        <v>0</v>
      </c>
      <c r="K12" s="85">
        <v>37500</v>
      </c>
      <c r="L12" s="82">
        <v>750000</v>
      </c>
    </row>
    <row r="13" spans="1:12" ht="12.75">
      <c r="A13" s="14" t="s">
        <v>350</v>
      </c>
      <c r="B13" s="15">
        <v>0</v>
      </c>
      <c r="C13" s="14" t="s">
        <v>316</v>
      </c>
      <c r="E13" s="5" t="s">
        <v>444</v>
      </c>
      <c r="F13" s="85">
        <v>210000</v>
      </c>
      <c r="G13" s="85">
        <v>0</v>
      </c>
      <c r="H13" s="85">
        <v>350000</v>
      </c>
      <c r="I13" s="85">
        <v>35000</v>
      </c>
      <c r="J13" s="85">
        <v>70000</v>
      </c>
      <c r="K13" s="85">
        <v>35000</v>
      </c>
      <c r="L13" s="82">
        <v>700000</v>
      </c>
    </row>
    <row r="14" spans="1:12" ht="12.75">
      <c r="A14" s="14" t="s">
        <v>350</v>
      </c>
      <c r="B14" s="15">
        <v>8000</v>
      </c>
      <c r="C14" s="14" t="s">
        <v>407</v>
      </c>
      <c r="E14" s="5" t="s">
        <v>343</v>
      </c>
      <c r="F14" s="85">
        <v>100000</v>
      </c>
      <c r="G14" s="85">
        <v>0</v>
      </c>
      <c r="H14" s="85">
        <v>75000</v>
      </c>
      <c r="I14" s="85">
        <v>0</v>
      </c>
      <c r="J14" s="85">
        <v>50000</v>
      </c>
      <c r="K14" s="85">
        <v>25000</v>
      </c>
      <c r="L14" s="82">
        <v>250000</v>
      </c>
    </row>
    <row r="15" spans="1:12" ht="12.75">
      <c r="A15" s="14" t="s">
        <v>554</v>
      </c>
      <c r="B15" s="16">
        <v>18000</v>
      </c>
      <c r="C15" s="14" t="s">
        <v>194</v>
      </c>
      <c r="E15" s="5" t="s">
        <v>436</v>
      </c>
      <c r="F15" s="85">
        <v>112500</v>
      </c>
      <c r="G15" s="85">
        <v>0</v>
      </c>
      <c r="H15" s="85">
        <v>375000</v>
      </c>
      <c r="I15" s="85">
        <v>112500</v>
      </c>
      <c r="J15" s="85">
        <v>0</v>
      </c>
      <c r="K15" s="85">
        <v>150000</v>
      </c>
      <c r="L15" s="82">
        <v>750000</v>
      </c>
    </row>
    <row r="16" spans="1:12" ht="12.75">
      <c r="A16" s="14" t="s">
        <v>554</v>
      </c>
      <c r="B16" s="16">
        <v>333000</v>
      </c>
      <c r="C16" s="14" t="s">
        <v>193</v>
      </c>
      <c r="E16" s="5" t="s">
        <v>437</v>
      </c>
      <c r="F16" s="85">
        <v>128099.99999999999</v>
      </c>
      <c r="G16" s="85">
        <v>53069.99999999999</v>
      </c>
      <c r="H16" s="85">
        <v>0</v>
      </c>
      <c r="I16" s="85">
        <v>0</v>
      </c>
      <c r="J16" s="85">
        <v>1830</v>
      </c>
      <c r="K16" s="85">
        <v>0</v>
      </c>
      <c r="L16" s="82">
        <v>182999.99999999997</v>
      </c>
    </row>
    <row r="17" spans="1:12" ht="12.75">
      <c r="A17" s="14" t="s">
        <v>554</v>
      </c>
      <c r="B17" s="16">
        <v>0</v>
      </c>
      <c r="C17" s="14" t="s">
        <v>315</v>
      </c>
      <c r="E17" s="5" t="s">
        <v>438</v>
      </c>
      <c r="F17" s="85">
        <v>41250</v>
      </c>
      <c r="G17" s="85">
        <v>12500</v>
      </c>
      <c r="H17" s="85">
        <v>28750</v>
      </c>
      <c r="I17" s="85">
        <v>30000</v>
      </c>
      <c r="J17" s="85">
        <v>0</v>
      </c>
      <c r="K17" s="85">
        <v>12500</v>
      </c>
      <c r="L17" s="82">
        <v>125000</v>
      </c>
    </row>
    <row r="18" spans="1:12" ht="12.75">
      <c r="A18" s="14" t="s">
        <v>554</v>
      </c>
      <c r="B18" s="16">
        <v>512999.99999999994</v>
      </c>
      <c r="C18" s="14" t="s">
        <v>314</v>
      </c>
      <c r="E18" s="5" t="s">
        <v>446</v>
      </c>
      <c r="F18" s="85">
        <v>88000</v>
      </c>
      <c r="G18" s="85">
        <v>22000</v>
      </c>
      <c r="H18" s="85">
        <v>220000</v>
      </c>
      <c r="I18" s="85">
        <v>275000</v>
      </c>
      <c r="J18" s="85">
        <v>473000</v>
      </c>
      <c r="K18" s="85">
        <v>22000</v>
      </c>
      <c r="L18" s="82">
        <v>1100000</v>
      </c>
    </row>
    <row r="19" spans="1:12" ht="12.75">
      <c r="A19" s="14" t="s">
        <v>554</v>
      </c>
      <c r="B19" s="16">
        <v>0</v>
      </c>
      <c r="C19" s="14" t="s">
        <v>316</v>
      </c>
      <c r="E19" s="5" t="s">
        <v>550</v>
      </c>
      <c r="F19" s="85">
        <v>135000</v>
      </c>
      <c r="G19" s="85">
        <v>110000</v>
      </c>
      <c r="H19" s="85">
        <v>0</v>
      </c>
      <c r="I19" s="85">
        <v>70000</v>
      </c>
      <c r="J19" s="85">
        <v>15000</v>
      </c>
      <c r="K19" s="85">
        <v>70000</v>
      </c>
      <c r="L19" s="82">
        <v>400000</v>
      </c>
    </row>
    <row r="20" spans="1:12" ht="12.75">
      <c r="A20" s="14" t="s">
        <v>554</v>
      </c>
      <c r="B20" s="16">
        <v>336000</v>
      </c>
      <c r="C20" s="14" t="s">
        <v>407</v>
      </c>
      <c r="E20" s="5" t="s">
        <v>351</v>
      </c>
      <c r="F20" s="85">
        <v>120000</v>
      </c>
      <c r="G20" s="85">
        <v>480000</v>
      </c>
      <c r="H20" s="85">
        <v>480000</v>
      </c>
      <c r="I20" s="85">
        <v>0</v>
      </c>
      <c r="J20" s="85">
        <v>0</v>
      </c>
      <c r="K20" s="85">
        <v>120000</v>
      </c>
      <c r="L20" s="82">
        <v>1200000</v>
      </c>
    </row>
    <row r="21" spans="1:12" ht="12.75">
      <c r="A21" s="14" t="s">
        <v>553</v>
      </c>
      <c r="B21" s="15">
        <v>6760</v>
      </c>
      <c r="C21" s="14" t="s">
        <v>194</v>
      </c>
      <c r="E21" s="5" t="s">
        <v>439</v>
      </c>
      <c r="F21" s="85">
        <v>416399.99999999994</v>
      </c>
      <c r="G21" s="85">
        <v>91200</v>
      </c>
      <c r="H21" s="85">
        <v>568800</v>
      </c>
      <c r="I21" s="85">
        <v>25200</v>
      </c>
      <c r="J21" s="85">
        <v>63600</v>
      </c>
      <c r="K21" s="85">
        <v>34800</v>
      </c>
      <c r="L21" s="82">
        <v>1200000</v>
      </c>
    </row>
    <row r="22" spans="1:12" ht="12.75">
      <c r="A22" s="14" t="s">
        <v>553</v>
      </c>
      <c r="B22" s="15">
        <v>121680</v>
      </c>
      <c r="C22" s="14" t="s">
        <v>193</v>
      </c>
      <c r="E22" s="5" t="s">
        <v>353</v>
      </c>
      <c r="F22" s="85">
        <v>93000</v>
      </c>
      <c r="G22" s="85">
        <v>6000</v>
      </c>
      <c r="H22" s="85">
        <v>0</v>
      </c>
      <c r="I22" s="85">
        <v>0</v>
      </c>
      <c r="J22" s="85">
        <v>183000</v>
      </c>
      <c r="K22" s="85">
        <v>18000</v>
      </c>
      <c r="L22" s="82">
        <v>300000</v>
      </c>
    </row>
    <row r="23" spans="1:12" ht="12.75">
      <c r="A23" s="14" t="s">
        <v>553</v>
      </c>
      <c r="B23" s="15">
        <v>175760</v>
      </c>
      <c r="C23" s="14" t="s">
        <v>315</v>
      </c>
      <c r="E23" s="5" t="s">
        <v>551</v>
      </c>
      <c r="F23" s="85">
        <v>10000</v>
      </c>
      <c r="G23" s="85">
        <v>210000</v>
      </c>
      <c r="H23" s="85">
        <v>175000</v>
      </c>
      <c r="I23" s="85">
        <v>25000</v>
      </c>
      <c r="J23" s="85">
        <v>230000</v>
      </c>
      <c r="K23" s="85">
        <v>90000</v>
      </c>
      <c r="L23" s="82">
        <v>740000</v>
      </c>
    </row>
    <row r="24" spans="1:12" ht="12.75">
      <c r="A24" s="14" t="s">
        <v>553</v>
      </c>
      <c r="B24" s="15">
        <v>20280</v>
      </c>
      <c r="C24" s="14" t="s">
        <v>314</v>
      </c>
      <c r="E24" s="5" t="s">
        <v>552</v>
      </c>
      <c r="F24" s="85">
        <v>160000</v>
      </c>
      <c r="G24" s="85">
        <v>60000</v>
      </c>
      <c r="H24" s="85">
        <v>340000</v>
      </c>
      <c r="I24" s="85">
        <v>160000</v>
      </c>
      <c r="J24" s="85">
        <v>150000</v>
      </c>
      <c r="K24" s="85">
        <v>130000</v>
      </c>
      <c r="L24" s="82">
        <v>1000000</v>
      </c>
    </row>
    <row r="25" spans="1:12" ht="12.75">
      <c r="A25" s="14" t="s">
        <v>553</v>
      </c>
      <c r="B25" s="15">
        <v>6760</v>
      </c>
      <c r="C25" s="14" t="s">
        <v>316</v>
      </c>
      <c r="E25" s="5" t="s">
        <v>281</v>
      </c>
      <c r="F25" s="85">
        <v>64000</v>
      </c>
      <c r="G25" s="85">
        <v>691200</v>
      </c>
      <c r="H25" s="85">
        <v>256000</v>
      </c>
      <c r="I25" s="85">
        <v>0</v>
      </c>
      <c r="J25" s="85">
        <v>256000</v>
      </c>
      <c r="K25" s="85">
        <v>12800</v>
      </c>
      <c r="L25" s="82">
        <v>1280000</v>
      </c>
    </row>
    <row r="26" spans="1:12" ht="12.75">
      <c r="A26" s="14" t="s">
        <v>553</v>
      </c>
      <c r="B26" s="15">
        <v>114920.00000000001</v>
      </c>
      <c r="C26" s="14" t="s">
        <v>407</v>
      </c>
      <c r="E26" s="5" t="s">
        <v>408</v>
      </c>
      <c r="F26" s="85">
        <v>90000</v>
      </c>
      <c r="G26" s="85">
        <v>0</v>
      </c>
      <c r="H26" s="85">
        <v>290000</v>
      </c>
      <c r="I26" s="85">
        <v>0</v>
      </c>
      <c r="J26" s="85">
        <v>95000</v>
      </c>
      <c r="K26" s="85">
        <v>25000</v>
      </c>
      <c r="L26" s="82">
        <v>500000</v>
      </c>
    </row>
    <row r="27" spans="1:12" ht="12.75">
      <c r="A27" s="14" t="s">
        <v>352</v>
      </c>
      <c r="B27" s="15">
        <v>4500</v>
      </c>
      <c r="C27" s="14" t="s">
        <v>194</v>
      </c>
      <c r="E27" s="5" t="s">
        <v>283</v>
      </c>
      <c r="F27" s="85">
        <v>0</v>
      </c>
      <c r="G27" s="85">
        <v>0</v>
      </c>
      <c r="H27" s="85">
        <v>5000</v>
      </c>
      <c r="I27" s="85">
        <v>35000</v>
      </c>
      <c r="J27" s="85">
        <v>150000</v>
      </c>
      <c r="K27" s="85">
        <v>30000</v>
      </c>
      <c r="L27" s="82">
        <v>220000</v>
      </c>
    </row>
    <row r="28" spans="1:12" ht="12.75">
      <c r="A28" s="14" t="s">
        <v>352</v>
      </c>
      <c r="B28" s="15">
        <v>135000</v>
      </c>
      <c r="C28" s="14" t="s">
        <v>193</v>
      </c>
      <c r="E28" s="5" t="s">
        <v>277</v>
      </c>
      <c r="F28" s="85">
        <v>110000</v>
      </c>
      <c r="G28" s="85">
        <v>143000</v>
      </c>
      <c r="H28" s="85">
        <v>55000</v>
      </c>
      <c r="I28" s="85">
        <v>110000</v>
      </c>
      <c r="J28" s="85">
        <v>605000</v>
      </c>
      <c r="K28" s="85">
        <v>77000.00000000001</v>
      </c>
      <c r="L28" s="82">
        <v>1100000</v>
      </c>
    </row>
    <row r="29" spans="1:12" ht="12.75">
      <c r="A29" s="14" t="s">
        <v>352</v>
      </c>
      <c r="B29" s="16">
        <v>292500</v>
      </c>
      <c r="C29" s="14" t="s">
        <v>315</v>
      </c>
      <c r="E29" s="5" t="s">
        <v>278</v>
      </c>
      <c r="F29" s="85">
        <v>30000</v>
      </c>
      <c r="G29" s="85">
        <v>0</v>
      </c>
      <c r="H29" s="85">
        <v>80000</v>
      </c>
      <c r="I29" s="85">
        <v>145000</v>
      </c>
      <c r="J29" s="85">
        <v>135000</v>
      </c>
      <c r="K29" s="85">
        <v>110000</v>
      </c>
      <c r="L29" s="82">
        <v>500000</v>
      </c>
    </row>
    <row r="30" spans="1:12" ht="12.75">
      <c r="A30" s="14" t="s">
        <v>352</v>
      </c>
      <c r="B30" s="15">
        <v>18000</v>
      </c>
      <c r="C30" s="14" t="s">
        <v>314</v>
      </c>
      <c r="E30" s="5" t="s">
        <v>279</v>
      </c>
      <c r="F30" s="85">
        <v>187000</v>
      </c>
      <c r="G30" s="85">
        <v>14000</v>
      </c>
      <c r="H30" s="85">
        <v>330000</v>
      </c>
      <c r="I30" s="85">
        <v>109000</v>
      </c>
      <c r="J30" s="85">
        <v>105000</v>
      </c>
      <c r="K30" s="85">
        <v>35000</v>
      </c>
      <c r="L30" s="82">
        <v>780000</v>
      </c>
    </row>
    <row r="31" spans="1:12" ht="12.75">
      <c r="A31" s="14" t="s">
        <v>352</v>
      </c>
      <c r="B31" s="15">
        <v>0</v>
      </c>
      <c r="C31" s="14" t="s">
        <v>316</v>
      </c>
      <c r="E31" s="5" t="s">
        <v>282</v>
      </c>
      <c r="F31" s="85">
        <v>151000</v>
      </c>
      <c r="G31" s="85">
        <v>37750</v>
      </c>
      <c r="H31" s="85">
        <v>339750</v>
      </c>
      <c r="I31" s="85">
        <v>113250</v>
      </c>
      <c r="J31" s="85">
        <v>75500</v>
      </c>
      <c r="K31" s="85">
        <v>37750</v>
      </c>
      <c r="L31" s="82">
        <v>755000</v>
      </c>
    </row>
    <row r="32" spans="1:12" ht="12.75">
      <c r="A32" s="14" t="s">
        <v>352</v>
      </c>
      <c r="B32" s="15">
        <v>0</v>
      </c>
      <c r="C32" s="14" t="s">
        <v>407</v>
      </c>
      <c r="E32" s="5" t="s">
        <v>286</v>
      </c>
      <c r="F32" s="85">
        <v>232500</v>
      </c>
      <c r="G32" s="85">
        <v>15000</v>
      </c>
      <c r="H32" s="85">
        <v>37500</v>
      </c>
      <c r="I32" s="85">
        <v>232500</v>
      </c>
      <c r="J32" s="85">
        <v>7500</v>
      </c>
      <c r="K32" s="85">
        <v>225000</v>
      </c>
      <c r="L32" s="82">
        <v>750000</v>
      </c>
    </row>
    <row r="33" spans="1:12" ht="12.75">
      <c r="A33" s="14" t="s">
        <v>342</v>
      </c>
      <c r="B33" s="15">
        <v>30000</v>
      </c>
      <c r="C33" s="14" t="s">
        <v>194</v>
      </c>
      <c r="E33" s="5" t="s">
        <v>287</v>
      </c>
      <c r="F33" s="85">
        <v>102000</v>
      </c>
      <c r="G33" s="85">
        <v>8000</v>
      </c>
      <c r="H33" s="85">
        <v>35000</v>
      </c>
      <c r="I33" s="85">
        <v>10000</v>
      </c>
      <c r="J33" s="85">
        <v>0</v>
      </c>
      <c r="K33" s="85">
        <v>15000</v>
      </c>
      <c r="L33" s="82">
        <v>170000</v>
      </c>
    </row>
    <row r="34" spans="1:12" ht="12.75">
      <c r="A34" s="14" t="s">
        <v>342</v>
      </c>
      <c r="B34" s="15">
        <v>830000</v>
      </c>
      <c r="C34" s="14" t="s">
        <v>193</v>
      </c>
      <c r="E34" s="5" t="s">
        <v>288</v>
      </c>
      <c r="F34" s="85">
        <v>116000</v>
      </c>
      <c r="G34" s="85">
        <v>31000</v>
      </c>
      <c r="H34" s="85">
        <v>0</v>
      </c>
      <c r="I34" s="85">
        <v>41000</v>
      </c>
      <c r="J34" s="85">
        <v>0</v>
      </c>
      <c r="K34" s="85">
        <v>96000</v>
      </c>
      <c r="L34" s="82">
        <v>284000</v>
      </c>
    </row>
    <row r="35" spans="1:12" ht="12.75">
      <c r="A35" s="14" t="s">
        <v>342</v>
      </c>
      <c r="B35" s="15">
        <v>370000</v>
      </c>
      <c r="C35" s="14" t="s">
        <v>315</v>
      </c>
      <c r="E35" s="5" t="s">
        <v>1672</v>
      </c>
      <c r="F35" s="85">
        <v>3608810</v>
      </c>
      <c r="G35" s="85">
        <v>3017420</v>
      </c>
      <c r="H35" s="85">
        <v>5453060</v>
      </c>
      <c r="I35" s="85">
        <v>1684190</v>
      </c>
      <c r="J35" s="85">
        <v>3954790</v>
      </c>
      <c r="K35" s="85">
        <v>1545890</v>
      </c>
      <c r="L35" s="82">
        <v>19264160</v>
      </c>
    </row>
    <row r="36" spans="1:12" ht="12.75">
      <c r="A36" s="14" t="s">
        <v>342</v>
      </c>
      <c r="B36" s="15">
        <v>90000</v>
      </c>
      <c r="C36" s="14" t="s">
        <v>314</v>
      </c>
      <c r="E36"/>
      <c r="F36" s="81"/>
      <c r="L36" s="82"/>
    </row>
    <row r="37" spans="1:12" ht="12.75">
      <c r="A37" s="14" t="s">
        <v>342</v>
      </c>
      <c r="B37" s="15">
        <v>9000</v>
      </c>
      <c r="C37" s="14" t="s">
        <v>316</v>
      </c>
      <c r="E37"/>
      <c r="F37" s="81"/>
      <c r="L37" s="82"/>
    </row>
    <row r="38" spans="1:12" ht="12.75">
      <c r="A38" s="14" t="s">
        <v>342</v>
      </c>
      <c r="B38" s="15">
        <v>85000</v>
      </c>
      <c r="C38" s="14" t="s">
        <v>407</v>
      </c>
      <c r="E38"/>
      <c r="F38" s="81"/>
      <c r="L38" s="82"/>
    </row>
    <row r="39" spans="1:12" ht="12.75">
      <c r="A39" s="14" t="s">
        <v>445</v>
      </c>
      <c r="B39" s="15">
        <v>70000</v>
      </c>
      <c r="C39" s="14" t="s">
        <v>194</v>
      </c>
      <c r="E39" s="67" t="s">
        <v>410</v>
      </c>
      <c r="F39" s="84" t="s">
        <v>411</v>
      </c>
      <c r="G39" s="81"/>
      <c r="H39" s="81"/>
      <c r="I39" s="81"/>
      <c r="J39" s="81"/>
      <c r="K39" s="81"/>
      <c r="L39"/>
    </row>
    <row r="40" spans="1:12" ht="12.75">
      <c r="A40" s="14" t="s">
        <v>445</v>
      </c>
      <c r="B40" s="15">
        <v>280000</v>
      </c>
      <c r="C40" s="14" t="s">
        <v>193</v>
      </c>
      <c r="E40" s="67" t="s">
        <v>409</v>
      </c>
      <c r="F40" s="81" t="s">
        <v>314</v>
      </c>
      <c r="G40" s="81" t="s">
        <v>407</v>
      </c>
      <c r="H40" s="81" t="s">
        <v>315</v>
      </c>
      <c r="I40" s="81" t="s">
        <v>316</v>
      </c>
      <c r="J40" s="81" t="s">
        <v>193</v>
      </c>
      <c r="K40" s="81" t="s">
        <v>194</v>
      </c>
      <c r="L40" t="s">
        <v>1672</v>
      </c>
    </row>
    <row r="41" spans="1:12" ht="12.75">
      <c r="A41" s="14" t="s">
        <v>445</v>
      </c>
      <c r="B41" s="15">
        <v>210000</v>
      </c>
      <c r="C41" s="14" t="s">
        <v>315</v>
      </c>
      <c r="E41" s="5" t="s">
        <v>341</v>
      </c>
      <c r="F41" s="86">
        <v>0.08</v>
      </c>
      <c r="G41" s="86">
        <v>0.08</v>
      </c>
      <c r="H41" s="86">
        <v>0</v>
      </c>
      <c r="I41" s="86">
        <v>0.28</v>
      </c>
      <c r="J41" s="86">
        <v>0.48</v>
      </c>
      <c r="K41" s="86">
        <v>0.08</v>
      </c>
      <c r="L41" s="83">
        <v>1</v>
      </c>
    </row>
    <row r="42" spans="1:12" ht="12.75">
      <c r="A42" s="14" t="s">
        <v>445</v>
      </c>
      <c r="B42" s="15">
        <v>70000</v>
      </c>
      <c r="C42" s="14" t="s">
        <v>314</v>
      </c>
      <c r="E42" s="5" t="s">
        <v>350</v>
      </c>
      <c r="F42" s="86">
        <v>0</v>
      </c>
      <c r="G42" s="86">
        <v>0.08888888888888889</v>
      </c>
      <c r="H42" s="86">
        <v>0.9111111111111111</v>
      </c>
      <c r="I42" s="86">
        <v>0</v>
      </c>
      <c r="J42" s="86">
        <v>0</v>
      </c>
      <c r="K42" s="86">
        <v>0</v>
      </c>
      <c r="L42" s="83">
        <v>1</v>
      </c>
    </row>
    <row r="43" spans="1:12" ht="12.75">
      <c r="A43" s="14" t="s">
        <v>445</v>
      </c>
      <c r="B43" s="15">
        <v>35000</v>
      </c>
      <c r="C43" s="14" t="s">
        <v>316</v>
      </c>
      <c r="E43" s="5" t="s">
        <v>554</v>
      </c>
      <c r="F43" s="86">
        <v>0.57</v>
      </c>
      <c r="G43" s="86">
        <v>0.04</v>
      </c>
      <c r="H43" s="86">
        <v>0</v>
      </c>
      <c r="I43" s="86">
        <v>0</v>
      </c>
      <c r="J43" s="86">
        <v>0.37</v>
      </c>
      <c r="K43" s="86">
        <v>0.02</v>
      </c>
      <c r="L43" s="83">
        <v>1</v>
      </c>
    </row>
    <row r="44" spans="1:12" ht="12.75">
      <c r="A44" s="14" t="s">
        <v>445</v>
      </c>
      <c r="B44" s="15">
        <v>35000</v>
      </c>
      <c r="C44" s="14" t="s">
        <v>407</v>
      </c>
      <c r="E44" s="5" t="s">
        <v>553</v>
      </c>
      <c r="F44" s="86">
        <v>0.045454545454545456</v>
      </c>
      <c r="G44" s="86">
        <v>0.2575757575757576</v>
      </c>
      <c r="H44" s="86">
        <v>0.3939393939393939</v>
      </c>
      <c r="I44" s="86">
        <v>0.015151515151515152</v>
      </c>
      <c r="J44" s="86">
        <v>0.2727272727272727</v>
      </c>
      <c r="K44" s="86">
        <v>0.015151515151515152</v>
      </c>
      <c r="L44" s="83">
        <v>1</v>
      </c>
    </row>
    <row r="45" spans="1:12" ht="12.75">
      <c r="A45" s="14" t="s">
        <v>349</v>
      </c>
      <c r="B45" s="16">
        <v>39493</v>
      </c>
      <c r="C45" s="14" t="s">
        <v>194</v>
      </c>
      <c r="E45" s="5" t="s">
        <v>352</v>
      </c>
      <c r="F45" s="86">
        <v>0.04</v>
      </c>
      <c r="G45" s="86">
        <v>0</v>
      </c>
      <c r="H45" s="86">
        <v>0.65</v>
      </c>
      <c r="I45" s="86">
        <v>0</v>
      </c>
      <c r="J45" s="86">
        <v>0.3</v>
      </c>
      <c r="K45" s="86">
        <v>0.01</v>
      </c>
      <c r="L45" s="83">
        <v>1</v>
      </c>
    </row>
    <row r="46" spans="1:12" ht="12.75">
      <c r="A46" s="14" t="s">
        <v>349</v>
      </c>
      <c r="B46" s="15">
        <v>0</v>
      </c>
      <c r="C46" s="14" t="s">
        <v>193</v>
      </c>
      <c r="E46" s="5" t="s">
        <v>342</v>
      </c>
      <c r="F46" s="86">
        <v>0.0625</v>
      </c>
      <c r="G46" s="86">
        <v>0.489375</v>
      </c>
      <c r="H46" s="86">
        <v>0.173125</v>
      </c>
      <c r="I46" s="86">
        <v>0.003125</v>
      </c>
      <c r="J46" s="86">
        <v>0.25</v>
      </c>
      <c r="K46" s="86">
        <v>0.021875</v>
      </c>
      <c r="L46" s="83">
        <v>1</v>
      </c>
    </row>
    <row r="47" spans="1:12" ht="12.75">
      <c r="A47" s="14" t="s">
        <v>349</v>
      </c>
      <c r="B47" s="15">
        <v>430900</v>
      </c>
      <c r="C47" s="14" t="s">
        <v>315</v>
      </c>
      <c r="E47" s="5" t="s">
        <v>445</v>
      </c>
      <c r="F47" s="86">
        <v>0.1</v>
      </c>
      <c r="G47" s="86">
        <v>0.05</v>
      </c>
      <c r="H47" s="86">
        <v>0.3</v>
      </c>
      <c r="I47" s="86">
        <v>0.05</v>
      </c>
      <c r="J47" s="86">
        <v>0.4</v>
      </c>
      <c r="K47" s="86">
        <v>0.1</v>
      </c>
      <c r="L47" s="83">
        <v>1</v>
      </c>
    </row>
    <row r="48" spans="1:12" ht="12.75">
      <c r="A48" s="14" t="s">
        <v>349</v>
      </c>
      <c r="B48" s="15">
        <v>335908</v>
      </c>
      <c r="C48" s="14" t="s">
        <v>314</v>
      </c>
      <c r="E48" s="5" t="s">
        <v>349</v>
      </c>
      <c r="F48" s="86">
        <v>0.25</v>
      </c>
      <c r="G48" s="86">
        <v>0.07</v>
      </c>
      <c r="H48" s="86">
        <v>0.5</v>
      </c>
      <c r="I48" s="86">
        <v>0.13</v>
      </c>
      <c r="J48" s="86">
        <v>0</v>
      </c>
      <c r="K48" s="86">
        <v>0.05</v>
      </c>
      <c r="L48" s="83">
        <v>1</v>
      </c>
    </row>
    <row r="49" spans="1:12" ht="12.75">
      <c r="A49" s="14" t="s">
        <v>349</v>
      </c>
      <c r="B49" s="15">
        <v>70274</v>
      </c>
      <c r="C49" s="14" t="s">
        <v>316</v>
      </c>
      <c r="E49" s="5" t="s">
        <v>444</v>
      </c>
      <c r="F49" s="86">
        <v>0.3</v>
      </c>
      <c r="G49" s="86">
        <v>0</v>
      </c>
      <c r="H49" s="86">
        <v>0.5</v>
      </c>
      <c r="I49" s="86">
        <v>0.05</v>
      </c>
      <c r="J49" s="86">
        <v>0.1</v>
      </c>
      <c r="K49" s="86">
        <v>0.05</v>
      </c>
      <c r="L49" s="83">
        <v>1</v>
      </c>
    </row>
    <row r="50" spans="1:12" ht="12.75">
      <c r="A50" s="14" t="s">
        <v>349</v>
      </c>
      <c r="B50" s="15">
        <v>21925</v>
      </c>
      <c r="C50" s="14" t="s">
        <v>407</v>
      </c>
      <c r="E50" s="5" t="s">
        <v>343</v>
      </c>
      <c r="F50" s="86">
        <v>0.4</v>
      </c>
      <c r="G50" s="86">
        <v>0</v>
      </c>
      <c r="H50" s="86">
        <v>0.3</v>
      </c>
      <c r="I50" s="86">
        <v>0</v>
      </c>
      <c r="J50" s="86">
        <v>0.2</v>
      </c>
      <c r="K50" s="86">
        <v>0.1</v>
      </c>
      <c r="L50" s="83">
        <v>1</v>
      </c>
    </row>
    <row r="51" spans="1:12" ht="12.75">
      <c r="A51" s="14" t="s">
        <v>444</v>
      </c>
      <c r="B51" s="15">
        <v>35000</v>
      </c>
      <c r="C51" s="14" t="s">
        <v>194</v>
      </c>
      <c r="E51" s="5" t="s">
        <v>436</v>
      </c>
      <c r="F51" s="86">
        <v>0.15</v>
      </c>
      <c r="G51" s="86">
        <v>0</v>
      </c>
      <c r="H51" s="86">
        <v>0.5</v>
      </c>
      <c r="I51" s="86">
        <v>0.15</v>
      </c>
      <c r="J51" s="86">
        <v>0</v>
      </c>
      <c r="K51" s="86">
        <v>0.2</v>
      </c>
      <c r="L51" s="83">
        <v>1</v>
      </c>
    </row>
    <row r="52" spans="1:12" ht="12.75">
      <c r="A52" s="14" t="s">
        <v>444</v>
      </c>
      <c r="B52" s="15">
        <v>70000</v>
      </c>
      <c r="C52" s="14" t="s">
        <v>193</v>
      </c>
      <c r="E52" s="5" t="s">
        <v>437</v>
      </c>
      <c r="F52" s="86">
        <v>0.7000000000000001</v>
      </c>
      <c r="G52" s="86">
        <v>0.29</v>
      </c>
      <c r="H52" s="86">
        <v>0</v>
      </c>
      <c r="I52" s="86">
        <v>0</v>
      </c>
      <c r="J52" s="86">
        <v>0.010000000000000002</v>
      </c>
      <c r="K52" s="86">
        <v>0</v>
      </c>
      <c r="L52" s="83">
        <v>1</v>
      </c>
    </row>
    <row r="53" spans="1:12" ht="12.75">
      <c r="A53" s="14" t="s">
        <v>444</v>
      </c>
      <c r="B53" s="15">
        <v>350000</v>
      </c>
      <c r="C53" s="14" t="s">
        <v>315</v>
      </c>
      <c r="E53" s="5" t="s">
        <v>438</v>
      </c>
      <c r="F53" s="86">
        <v>0.33</v>
      </c>
      <c r="G53" s="86">
        <v>0.1</v>
      </c>
      <c r="H53" s="86">
        <v>0.23</v>
      </c>
      <c r="I53" s="86">
        <v>0.24</v>
      </c>
      <c r="J53" s="86">
        <v>0</v>
      </c>
      <c r="K53" s="86">
        <v>0.1</v>
      </c>
      <c r="L53" s="83">
        <v>1</v>
      </c>
    </row>
    <row r="54" spans="1:12" ht="12.75">
      <c r="A54" s="14" t="s">
        <v>444</v>
      </c>
      <c r="B54" s="15">
        <v>210000</v>
      </c>
      <c r="C54" s="14" t="s">
        <v>314</v>
      </c>
      <c r="E54" s="5" t="s">
        <v>446</v>
      </c>
      <c r="F54" s="86">
        <v>0.08</v>
      </c>
      <c r="G54" s="86">
        <v>0.02</v>
      </c>
      <c r="H54" s="86">
        <v>0.2</v>
      </c>
      <c r="I54" s="86">
        <v>0.25</v>
      </c>
      <c r="J54" s="86">
        <v>0.43</v>
      </c>
      <c r="K54" s="86">
        <v>0.02</v>
      </c>
      <c r="L54" s="83">
        <v>1</v>
      </c>
    </row>
    <row r="55" spans="1:12" ht="12.75">
      <c r="A55" s="14" t="s">
        <v>444</v>
      </c>
      <c r="B55" s="15">
        <v>35000</v>
      </c>
      <c r="C55" s="14" t="s">
        <v>316</v>
      </c>
      <c r="E55" s="5" t="s">
        <v>550</v>
      </c>
      <c r="F55" s="86">
        <v>0.3375</v>
      </c>
      <c r="G55" s="86">
        <v>0.275</v>
      </c>
      <c r="H55" s="86">
        <v>0</v>
      </c>
      <c r="I55" s="86">
        <v>0.175</v>
      </c>
      <c r="J55" s="86">
        <v>0.0375</v>
      </c>
      <c r="K55" s="86">
        <v>0.175</v>
      </c>
      <c r="L55" s="83">
        <v>1</v>
      </c>
    </row>
    <row r="56" spans="1:12" ht="12.75">
      <c r="A56" s="14" t="s">
        <v>444</v>
      </c>
      <c r="B56" s="15">
        <v>0</v>
      </c>
      <c r="C56" s="14" t="s">
        <v>407</v>
      </c>
      <c r="E56" s="5" t="s">
        <v>351</v>
      </c>
      <c r="F56" s="86">
        <v>0.1</v>
      </c>
      <c r="G56" s="86">
        <v>0.4</v>
      </c>
      <c r="H56" s="86">
        <v>0.4</v>
      </c>
      <c r="I56" s="86">
        <v>0</v>
      </c>
      <c r="J56" s="86">
        <v>0</v>
      </c>
      <c r="K56" s="86">
        <v>0.1</v>
      </c>
      <c r="L56" s="83">
        <v>1</v>
      </c>
    </row>
    <row r="57" spans="1:12" ht="12.75">
      <c r="A57" s="14" t="s">
        <v>343</v>
      </c>
      <c r="B57" s="15">
        <v>25000</v>
      </c>
      <c r="C57" s="14" t="s">
        <v>194</v>
      </c>
      <c r="E57" s="5" t="s">
        <v>439</v>
      </c>
      <c r="F57" s="86">
        <v>0.347</v>
      </c>
      <c r="G57" s="86">
        <v>0.076</v>
      </c>
      <c r="H57" s="86">
        <v>0.474</v>
      </c>
      <c r="I57" s="86">
        <v>0.021</v>
      </c>
      <c r="J57" s="86">
        <v>0.053</v>
      </c>
      <c r="K57" s="86">
        <v>0.029</v>
      </c>
      <c r="L57" s="83">
        <v>1</v>
      </c>
    </row>
    <row r="58" spans="1:12" ht="12.75">
      <c r="A58" s="14" t="s">
        <v>343</v>
      </c>
      <c r="B58" s="15">
        <v>50000</v>
      </c>
      <c r="C58" s="14" t="s">
        <v>193</v>
      </c>
      <c r="E58" s="5" t="s">
        <v>353</v>
      </c>
      <c r="F58" s="86">
        <v>0.31</v>
      </c>
      <c r="G58" s="86">
        <v>0.02</v>
      </c>
      <c r="H58" s="86">
        <v>0</v>
      </c>
      <c r="I58" s="86">
        <v>0</v>
      </c>
      <c r="J58" s="86">
        <v>0.61</v>
      </c>
      <c r="K58" s="86">
        <v>0.06</v>
      </c>
      <c r="L58" s="83">
        <v>1</v>
      </c>
    </row>
    <row r="59" spans="1:12" ht="12.75">
      <c r="A59" s="14" t="s">
        <v>343</v>
      </c>
      <c r="B59" s="15">
        <v>75000</v>
      </c>
      <c r="C59" s="14" t="s">
        <v>315</v>
      </c>
      <c r="E59" s="5" t="s">
        <v>551</v>
      </c>
      <c r="F59" s="86">
        <v>0.013513513513513514</v>
      </c>
      <c r="G59" s="86">
        <v>0.28378378378378377</v>
      </c>
      <c r="H59" s="86">
        <v>0.23648648648648649</v>
      </c>
      <c r="I59" s="86">
        <v>0.033783783783783786</v>
      </c>
      <c r="J59" s="86">
        <v>0.3108108108108108</v>
      </c>
      <c r="K59" s="86">
        <v>0.12162162162162163</v>
      </c>
      <c r="L59" s="83">
        <v>1</v>
      </c>
    </row>
    <row r="60" spans="1:12" ht="12.75">
      <c r="A60" s="14" t="s">
        <v>343</v>
      </c>
      <c r="B60" s="15">
        <v>100000</v>
      </c>
      <c r="C60" s="14" t="s">
        <v>314</v>
      </c>
      <c r="E60" s="5" t="s">
        <v>552</v>
      </c>
      <c r="F60" s="86">
        <v>0.16</v>
      </c>
      <c r="G60" s="86">
        <v>0.06</v>
      </c>
      <c r="H60" s="86">
        <v>0.34</v>
      </c>
      <c r="I60" s="86">
        <v>0.16</v>
      </c>
      <c r="J60" s="86">
        <v>0.15</v>
      </c>
      <c r="K60" s="86">
        <v>0.13</v>
      </c>
      <c r="L60" s="83">
        <v>1</v>
      </c>
    </row>
    <row r="61" spans="1:12" ht="12.75">
      <c r="A61" s="14" t="s">
        <v>343</v>
      </c>
      <c r="B61" s="15">
        <v>0</v>
      </c>
      <c r="C61" s="14" t="s">
        <v>316</v>
      </c>
      <c r="E61" s="5" t="s">
        <v>281</v>
      </c>
      <c r="F61" s="86">
        <v>0.05</v>
      </c>
      <c r="G61" s="86">
        <v>0.54</v>
      </c>
      <c r="H61" s="86">
        <v>0.2</v>
      </c>
      <c r="I61" s="86">
        <v>0</v>
      </c>
      <c r="J61" s="86">
        <v>0.2</v>
      </c>
      <c r="K61" s="86">
        <v>0.01</v>
      </c>
      <c r="L61" s="83">
        <v>1</v>
      </c>
    </row>
    <row r="62" spans="1:12" ht="12.75">
      <c r="A62" s="14" t="s">
        <v>343</v>
      </c>
      <c r="B62" s="15">
        <v>0</v>
      </c>
      <c r="C62" s="14" t="s">
        <v>407</v>
      </c>
      <c r="E62" s="5" t="s">
        <v>408</v>
      </c>
      <c r="F62" s="86">
        <v>0.18</v>
      </c>
      <c r="G62" s="86">
        <v>0</v>
      </c>
      <c r="H62" s="86">
        <v>0.58</v>
      </c>
      <c r="I62" s="86">
        <v>0</v>
      </c>
      <c r="J62" s="86">
        <v>0.19</v>
      </c>
      <c r="K62" s="86">
        <v>0.05</v>
      </c>
      <c r="L62" s="83">
        <v>1</v>
      </c>
    </row>
    <row r="63" spans="1:12" ht="12.75">
      <c r="A63" s="14" t="s">
        <v>436</v>
      </c>
      <c r="B63" s="15">
        <v>150000</v>
      </c>
      <c r="C63" s="14" t="s">
        <v>194</v>
      </c>
      <c r="E63" s="5" t="s">
        <v>283</v>
      </c>
      <c r="F63" s="86">
        <v>0</v>
      </c>
      <c r="G63" s="86">
        <v>0</v>
      </c>
      <c r="H63" s="86">
        <v>0.022727272727272728</v>
      </c>
      <c r="I63" s="86">
        <v>0.1590909090909091</v>
      </c>
      <c r="J63" s="86">
        <v>0.6818181818181818</v>
      </c>
      <c r="K63" s="86">
        <v>0.13636363636363635</v>
      </c>
      <c r="L63" s="83">
        <v>1</v>
      </c>
    </row>
    <row r="64" spans="1:12" ht="12.75">
      <c r="A64" s="14" t="s">
        <v>436</v>
      </c>
      <c r="B64" s="15">
        <v>0</v>
      </c>
      <c r="C64" s="14" t="s">
        <v>193</v>
      </c>
      <c r="E64" s="5" t="s">
        <v>277</v>
      </c>
      <c r="F64" s="86">
        <v>0.1</v>
      </c>
      <c r="G64" s="86">
        <v>0.13</v>
      </c>
      <c r="H64" s="86">
        <v>0.05</v>
      </c>
      <c r="I64" s="86">
        <v>0.1</v>
      </c>
      <c r="J64" s="86">
        <v>0.55</v>
      </c>
      <c r="K64" s="86">
        <v>0.07</v>
      </c>
      <c r="L64" s="83">
        <v>1</v>
      </c>
    </row>
    <row r="65" spans="1:12" ht="12.75">
      <c r="A65" s="14" t="s">
        <v>436</v>
      </c>
      <c r="B65" s="15">
        <v>375000</v>
      </c>
      <c r="C65" s="14" t="s">
        <v>315</v>
      </c>
      <c r="E65" s="5" t="s">
        <v>278</v>
      </c>
      <c r="F65" s="86">
        <v>0.06</v>
      </c>
      <c r="G65" s="86">
        <v>0</v>
      </c>
      <c r="H65" s="86">
        <v>0.16</v>
      </c>
      <c r="I65" s="86">
        <v>0.29</v>
      </c>
      <c r="J65" s="86">
        <v>0.27</v>
      </c>
      <c r="K65" s="86">
        <v>0.22</v>
      </c>
      <c r="L65" s="83">
        <v>1</v>
      </c>
    </row>
    <row r="66" spans="1:12" ht="12.75">
      <c r="A66" s="14" t="s">
        <v>436</v>
      </c>
      <c r="B66" s="15">
        <v>112500</v>
      </c>
      <c r="C66" s="14" t="s">
        <v>314</v>
      </c>
      <c r="E66" s="5" t="s">
        <v>279</v>
      </c>
      <c r="F66" s="86">
        <v>0.23974358974358975</v>
      </c>
      <c r="G66" s="86">
        <v>0.017948717948717947</v>
      </c>
      <c r="H66" s="86">
        <v>0.4230769230769231</v>
      </c>
      <c r="I66" s="86">
        <v>0.13974358974358975</v>
      </c>
      <c r="J66" s="86">
        <v>0.1346153846153846</v>
      </c>
      <c r="K66" s="86">
        <v>0.04487179487179487</v>
      </c>
      <c r="L66" s="83">
        <v>1</v>
      </c>
    </row>
    <row r="67" spans="1:12" ht="12.75">
      <c r="A67" s="14" t="s">
        <v>436</v>
      </c>
      <c r="B67" s="15">
        <v>112500</v>
      </c>
      <c r="C67" s="14" t="s">
        <v>316</v>
      </c>
      <c r="E67" s="5" t="s">
        <v>282</v>
      </c>
      <c r="F67" s="86">
        <v>0.2</v>
      </c>
      <c r="G67" s="86">
        <v>0.05</v>
      </c>
      <c r="H67" s="86">
        <v>0.45</v>
      </c>
      <c r="I67" s="86">
        <v>0.15</v>
      </c>
      <c r="J67" s="86">
        <v>0.1</v>
      </c>
      <c r="K67" s="86">
        <v>0.05</v>
      </c>
      <c r="L67" s="83">
        <v>1</v>
      </c>
    </row>
    <row r="68" spans="1:12" ht="12.75">
      <c r="A68" s="14" t="s">
        <v>436</v>
      </c>
      <c r="B68" s="15">
        <v>0</v>
      </c>
      <c r="C68" s="14" t="s">
        <v>407</v>
      </c>
      <c r="E68" s="5" t="s">
        <v>286</v>
      </c>
      <c r="F68" s="86">
        <v>0.31</v>
      </c>
      <c r="G68" s="86">
        <v>0.02</v>
      </c>
      <c r="H68" s="86">
        <v>0.05</v>
      </c>
      <c r="I68" s="86">
        <v>0.31</v>
      </c>
      <c r="J68" s="86">
        <v>0.01</v>
      </c>
      <c r="K68" s="86">
        <v>0.3</v>
      </c>
      <c r="L68" s="83">
        <v>1</v>
      </c>
    </row>
    <row r="69" spans="1:12" ht="12.75">
      <c r="A69" s="14" t="s">
        <v>437</v>
      </c>
      <c r="B69" s="15">
        <v>0</v>
      </c>
      <c r="C69" s="14" t="s">
        <v>194</v>
      </c>
      <c r="E69" s="5" t="s">
        <v>287</v>
      </c>
      <c r="F69" s="86">
        <v>0.6</v>
      </c>
      <c r="G69" s="86">
        <v>0.047058823529411764</v>
      </c>
      <c r="H69" s="86">
        <v>0.20588235294117646</v>
      </c>
      <c r="I69" s="86">
        <v>0.058823529411764705</v>
      </c>
      <c r="J69" s="86">
        <v>0</v>
      </c>
      <c r="K69" s="86">
        <v>0.08823529411764706</v>
      </c>
      <c r="L69" s="83">
        <v>1</v>
      </c>
    </row>
    <row r="70" spans="1:12" ht="12.75">
      <c r="A70" s="14" t="s">
        <v>437</v>
      </c>
      <c r="B70" s="15">
        <v>1830</v>
      </c>
      <c r="C70" s="14" t="s">
        <v>193</v>
      </c>
      <c r="E70" s="5" t="s">
        <v>288</v>
      </c>
      <c r="F70" s="86">
        <v>0.4084507042253521</v>
      </c>
      <c r="G70" s="86">
        <v>0.10915492957746478</v>
      </c>
      <c r="H70" s="86">
        <v>0</v>
      </c>
      <c r="I70" s="86">
        <v>0.1443661971830986</v>
      </c>
      <c r="J70" s="86">
        <v>0</v>
      </c>
      <c r="K70" s="86">
        <v>0.3380281690140845</v>
      </c>
      <c r="L70" s="83">
        <v>1</v>
      </c>
    </row>
    <row r="71" spans="1:12" ht="12.75">
      <c r="A71" s="14" t="s">
        <v>437</v>
      </c>
      <c r="B71" s="15">
        <v>0</v>
      </c>
      <c r="C71" s="14" t="s">
        <v>315</v>
      </c>
      <c r="E71" s="5" t="s">
        <v>1672</v>
      </c>
      <c r="F71" s="86">
        <v>0.18733285022549648</v>
      </c>
      <c r="G71" s="86">
        <v>0.15663387347281169</v>
      </c>
      <c r="H71" s="86">
        <v>0.2830676240230563</v>
      </c>
      <c r="I71" s="86">
        <v>0.08742608034816987</v>
      </c>
      <c r="J71" s="86">
        <v>0.20529262630709047</v>
      </c>
      <c r="K71" s="86">
        <v>0.08024694562337523</v>
      </c>
      <c r="L71" s="83">
        <v>1</v>
      </c>
    </row>
    <row r="72" spans="1:6" ht="12.75">
      <c r="A72" s="14" t="s">
        <v>437</v>
      </c>
      <c r="B72" s="15">
        <v>128099.99999999999</v>
      </c>
      <c r="C72" s="14" t="s">
        <v>314</v>
      </c>
      <c r="E72"/>
      <c r="F72" s="81"/>
    </row>
    <row r="73" spans="1:6" ht="12.75">
      <c r="A73" s="14" t="s">
        <v>437</v>
      </c>
      <c r="B73" s="15">
        <v>0</v>
      </c>
      <c r="C73" s="14" t="s">
        <v>316</v>
      </c>
      <c r="E73"/>
      <c r="F73" s="81"/>
    </row>
    <row r="74" spans="1:6" ht="12.75">
      <c r="A74" s="14" t="s">
        <v>437</v>
      </c>
      <c r="B74" s="15">
        <v>53069.99999999999</v>
      </c>
      <c r="C74" s="14" t="s">
        <v>407</v>
      </c>
      <c r="E74"/>
      <c r="F74" s="81"/>
    </row>
    <row r="75" spans="1:6" ht="12.75">
      <c r="A75" s="14" t="s">
        <v>438</v>
      </c>
      <c r="B75" s="16">
        <v>12500</v>
      </c>
      <c r="C75" s="14" t="s">
        <v>194</v>
      </c>
      <c r="E75"/>
      <c r="F75" s="81"/>
    </row>
    <row r="76" spans="1:6" ht="12.75">
      <c r="A76" s="14" t="s">
        <v>438</v>
      </c>
      <c r="B76" s="16">
        <v>0</v>
      </c>
      <c r="C76" s="14" t="s">
        <v>193</v>
      </c>
      <c r="E76"/>
      <c r="F76" s="81"/>
    </row>
    <row r="77" spans="1:6" ht="12.75">
      <c r="A77" s="14" t="s">
        <v>438</v>
      </c>
      <c r="B77" s="16">
        <v>28750</v>
      </c>
      <c r="C77" s="14" t="s">
        <v>315</v>
      </c>
      <c r="E77"/>
      <c r="F77" s="81"/>
    </row>
    <row r="78" spans="1:6" ht="12.75">
      <c r="A78" s="14" t="s">
        <v>438</v>
      </c>
      <c r="B78" s="16">
        <v>41250</v>
      </c>
      <c r="C78" s="14" t="s">
        <v>314</v>
      </c>
      <c r="E78"/>
      <c r="F78" s="81"/>
    </row>
    <row r="79" spans="1:6" ht="12.75">
      <c r="A79" s="14" t="s">
        <v>438</v>
      </c>
      <c r="B79" s="16">
        <v>30000</v>
      </c>
      <c r="C79" s="14" t="s">
        <v>316</v>
      </c>
      <c r="E79"/>
      <c r="F79" s="81"/>
    </row>
    <row r="80" spans="1:6" ht="12.75">
      <c r="A80" s="14" t="s">
        <v>438</v>
      </c>
      <c r="B80" s="16">
        <v>12500</v>
      </c>
      <c r="C80" s="14" t="s">
        <v>407</v>
      </c>
      <c r="E80"/>
      <c r="F80" s="81"/>
    </row>
    <row r="81" spans="1:6" ht="12.75">
      <c r="A81" s="14" t="s">
        <v>446</v>
      </c>
      <c r="B81" s="16">
        <v>22000</v>
      </c>
      <c r="C81" s="14" t="s">
        <v>194</v>
      </c>
      <c r="E81"/>
      <c r="F81" s="81"/>
    </row>
    <row r="82" spans="1:6" ht="12.75">
      <c r="A82" s="14" t="s">
        <v>446</v>
      </c>
      <c r="B82" s="16">
        <v>687600</v>
      </c>
      <c r="C82" s="14" t="s">
        <v>193</v>
      </c>
      <c r="E82"/>
      <c r="F82" s="81"/>
    </row>
    <row r="83" spans="1:6" ht="12.75">
      <c r="A83" s="14" t="s">
        <v>446</v>
      </c>
      <c r="B83" s="16">
        <v>255000</v>
      </c>
      <c r="C83" s="14" t="s">
        <v>315</v>
      </c>
      <c r="E83"/>
      <c r="F83" s="81"/>
    </row>
    <row r="84" spans="1:6" ht="12.75">
      <c r="A84" s="14" t="s">
        <v>446</v>
      </c>
      <c r="B84" s="16">
        <v>88000</v>
      </c>
      <c r="C84" s="14" t="s">
        <v>314</v>
      </c>
      <c r="E84"/>
      <c r="F84" s="81"/>
    </row>
    <row r="85" spans="1:6" ht="12.75">
      <c r="A85" s="14" t="s">
        <v>446</v>
      </c>
      <c r="B85" s="16">
        <v>15000</v>
      </c>
      <c r="C85" s="14" t="s">
        <v>316</v>
      </c>
      <c r="E85"/>
      <c r="F85" s="81"/>
    </row>
    <row r="86" spans="1:6" ht="12.75">
      <c r="A86" s="14" t="s">
        <v>446</v>
      </c>
      <c r="B86" s="16">
        <v>32400</v>
      </c>
      <c r="C86" s="14" t="s">
        <v>407</v>
      </c>
      <c r="E86"/>
      <c r="F86" s="81"/>
    </row>
    <row r="87" spans="1:6" ht="12.75">
      <c r="A87" s="14" t="s">
        <v>550</v>
      </c>
      <c r="B87" s="15">
        <v>70000</v>
      </c>
      <c r="C87" s="14" t="s">
        <v>194</v>
      </c>
      <c r="E87"/>
      <c r="F87" s="81"/>
    </row>
    <row r="88" spans="1:6" ht="12.75">
      <c r="A88" s="14" t="s">
        <v>550</v>
      </c>
      <c r="B88" s="15">
        <v>15000</v>
      </c>
      <c r="C88" s="14" t="s">
        <v>193</v>
      </c>
      <c r="E88"/>
      <c r="F88" s="81"/>
    </row>
    <row r="89" spans="1:6" ht="12.75">
      <c r="A89" s="14" t="s">
        <v>550</v>
      </c>
      <c r="B89" s="15">
        <v>0</v>
      </c>
      <c r="C89" s="14" t="s">
        <v>315</v>
      </c>
      <c r="E89"/>
      <c r="F89" s="81"/>
    </row>
    <row r="90" spans="1:6" ht="12.75">
      <c r="A90" s="14" t="s">
        <v>550</v>
      </c>
      <c r="B90" s="15">
        <v>135000</v>
      </c>
      <c r="C90" s="14" t="s">
        <v>314</v>
      </c>
      <c r="E90"/>
      <c r="F90" s="81"/>
    </row>
    <row r="91" spans="1:6" ht="12.75">
      <c r="A91" s="14" t="s">
        <v>550</v>
      </c>
      <c r="B91" s="15">
        <v>70000</v>
      </c>
      <c r="C91" s="14" t="s">
        <v>316</v>
      </c>
      <c r="E91"/>
      <c r="F91" s="81"/>
    </row>
    <row r="92" spans="1:6" ht="12.75">
      <c r="A92" s="14" t="s">
        <v>550</v>
      </c>
      <c r="B92" s="15">
        <v>110000</v>
      </c>
      <c r="C92" s="14" t="s">
        <v>407</v>
      </c>
      <c r="E92"/>
      <c r="F92" s="81"/>
    </row>
    <row r="93" spans="1:6" ht="12.75">
      <c r="A93" s="14" t="s">
        <v>351</v>
      </c>
      <c r="B93" s="15">
        <v>120000</v>
      </c>
      <c r="C93" s="14" t="s">
        <v>194</v>
      </c>
      <c r="E93"/>
      <c r="F93" s="81"/>
    </row>
    <row r="94" spans="1:6" ht="12.75">
      <c r="A94" s="14" t="s">
        <v>351</v>
      </c>
      <c r="B94" s="15">
        <v>0</v>
      </c>
      <c r="C94" s="14" t="s">
        <v>193</v>
      </c>
      <c r="E94"/>
      <c r="F94" s="81"/>
    </row>
    <row r="95" spans="1:6" ht="12.75">
      <c r="A95" s="14" t="s">
        <v>351</v>
      </c>
      <c r="B95" s="15">
        <v>480000</v>
      </c>
      <c r="C95" s="14" t="s">
        <v>315</v>
      </c>
      <c r="E95"/>
      <c r="F95" s="81"/>
    </row>
    <row r="96" spans="1:6" ht="12.75">
      <c r="A96" s="14" t="s">
        <v>351</v>
      </c>
      <c r="B96" s="15">
        <v>120000</v>
      </c>
      <c r="C96" s="14" t="s">
        <v>314</v>
      </c>
      <c r="E96"/>
      <c r="F96" s="81"/>
    </row>
    <row r="97" spans="1:6" ht="12.75">
      <c r="A97" s="14" t="s">
        <v>351</v>
      </c>
      <c r="B97" s="15">
        <v>0</v>
      </c>
      <c r="C97" s="14" t="s">
        <v>316</v>
      </c>
      <c r="E97"/>
      <c r="F97" s="81"/>
    </row>
    <row r="98" spans="1:6" ht="12.75">
      <c r="A98" s="14" t="s">
        <v>351</v>
      </c>
      <c r="B98" s="15">
        <v>480000</v>
      </c>
      <c r="C98" s="14" t="s">
        <v>407</v>
      </c>
      <c r="E98"/>
      <c r="F98" s="81"/>
    </row>
    <row r="99" spans="1:6" ht="12.75">
      <c r="A99" s="14" t="s">
        <v>439</v>
      </c>
      <c r="B99" s="16">
        <v>34800</v>
      </c>
      <c r="C99" s="14" t="s">
        <v>194</v>
      </c>
      <c r="E99"/>
      <c r="F99" s="81"/>
    </row>
    <row r="100" spans="1:6" ht="12.75">
      <c r="A100" s="14" t="s">
        <v>439</v>
      </c>
      <c r="B100" s="16">
        <v>63600</v>
      </c>
      <c r="C100" s="14" t="s">
        <v>193</v>
      </c>
      <c r="E100"/>
      <c r="F100" s="81"/>
    </row>
    <row r="101" spans="1:6" ht="12.75">
      <c r="A101" s="14" t="s">
        <v>439</v>
      </c>
      <c r="B101" s="15">
        <v>568800</v>
      </c>
      <c r="C101" s="14" t="s">
        <v>315</v>
      </c>
      <c r="E101"/>
      <c r="F101" s="81"/>
    </row>
    <row r="102" spans="1:6" ht="12.75">
      <c r="A102" s="14" t="s">
        <v>439</v>
      </c>
      <c r="B102" s="16">
        <v>416399.99999999994</v>
      </c>
      <c r="C102" s="14" t="s">
        <v>314</v>
      </c>
      <c r="E102"/>
      <c r="F102" s="81"/>
    </row>
    <row r="103" spans="1:6" ht="12.75">
      <c r="A103" s="14" t="s">
        <v>439</v>
      </c>
      <c r="B103" s="16">
        <v>25200</v>
      </c>
      <c r="C103" s="14" t="s">
        <v>316</v>
      </c>
      <c r="E103"/>
      <c r="F103" s="81"/>
    </row>
    <row r="104" spans="1:6" ht="12.75">
      <c r="A104" s="14" t="s">
        <v>439</v>
      </c>
      <c r="B104" s="16">
        <v>91200</v>
      </c>
      <c r="C104" s="14" t="s">
        <v>407</v>
      </c>
      <c r="E104"/>
      <c r="F104" s="81"/>
    </row>
    <row r="105" spans="1:6" ht="12.75">
      <c r="A105" s="14" t="s">
        <v>353</v>
      </c>
      <c r="B105" s="15">
        <v>18000</v>
      </c>
      <c r="C105" s="14" t="s">
        <v>194</v>
      </c>
      <c r="E105"/>
      <c r="F105" s="81"/>
    </row>
    <row r="106" spans="1:6" ht="12.75">
      <c r="A106" s="14" t="s">
        <v>353</v>
      </c>
      <c r="B106" s="15">
        <v>183000</v>
      </c>
      <c r="C106" s="14" t="s">
        <v>193</v>
      </c>
      <c r="E106"/>
      <c r="F106" s="81"/>
    </row>
    <row r="107" spans="1:6" ht="12.75">
      <c r="A107" s="14" t="s">
        <v>353</v>
      </c>
      <c r="B107" s="15">
        <v>0</v>
      </c>
      <c r="C107" s="14" t="s">
        <v>315</v>
      </c>
      <c r="E107"/>
      <c r="F107" s="81"/>
    </row>
    <row r="108" spans="1:6" ht="12.75">
      <c r="A108" s="14" t="s">
        <v>353</v>
      </c>
      <c r="B108" s="15">
        <v>93000</v>
      </c>
      <c r="C108" s="14" t="s">
        <v>314</v>
      </c>
      <c r="E108"/>
      <c r="F108" s="81"/>
    </row>
    <row r="109" spans="1:6" ht="12.75">
      <c r="A109" s="14" t="s">
        <v>353</v>
      </c>
      <c r="B109" s="15">
        <v>0</v>
      </c>
      <c r="C109" s="14" t="s">
        <v>316</v>
      </c>
      <c r="E109"/>
      <c r="F109" s="81"/>
    </row>
    <row r="110" spans="1:6" ht="12.75">
      <c r="A110" s="14" t="s">
        <v>353</v>
      </c>
      <c r="B110" s="15">
        <v>6000</v>
      </c>
      <c r="C110" s="14" t="s">
        <v>407</v>
      </c>
      <c r="E110"/>
      <c r="F110" s="81"/>
    </row>
    <row r="111" spans="1:6" ht="12.75">
      <c r="A111" s="14" t="s">
        <v>551</v>
      </c>
      <c r="B111" s="15">
        <v>90000</v>
      </c>
      <c r="C111" s="14" t="s">
        <v>194</v>
      </c>
      <c r="E111"/>
      <c r="F111" s="81"/>
    </row>
    <row r="112" spans="1:6" ht="12.75">
      <c r="A112" s="14" t="s">
        <v>551</v>
      </c>
      <c r="B112" s="15">
        <v>230000</v>
      </c>
      <c r="C112" s="14" t="s">
        <v>193</v>
      </c>
      <c r="E112"/>
      <c r="F112" s="81"/>
    </row>
    <row r="113" spans="1:6" ht="12.75">
      <c r="A113" s="14" t="s">
        <v>551</v>
      </c>
      <c r="B113" s="15">
        <v>175000</v>
      </c>
      <c r="C113" s="14" t="s">
        <v>315</v>
      </c>
      <c r="E113"/>
      <c r="F113" s="81"/>
    </row>
    <row r="114" spans="1:6" ht="12.75">
      <c r="A114" s="14" t="s">
        <v>551</v>
      </c>
      <c r="B114" s="15">
        <v>10000</v>
      </c>
      <c r="C114" s="14" t="s">
        <v>314</v>
      </c>
      <c r="E114"/>
      <c r="F114" s="81"/>
    </row>
    <row r="115" spans="1:6" ht="12.75">
      <c r="A115" s="14" t="s">
        <v>551</v>
      </c>
      <c r="B115" s="15">
        <v>25000</v>
      </c>
      <c r="C115" s="14" t="s">
        <v>316</v>
      </c>
      <c r="E115"/>
      <c r="F115" s="81"/>
    </row>
    <row r="116" spans="1:6" ht="12.75">
      <c r="A116" s="14" t="s">
        <v>551</v>
      </c>
      <c r="B116" s="15">
        <v>210000</v>
      </c>
      <c r="C116" s="14" t="s">
        <v>407</v>
      </c>
      <c r="E116"/>
      <c r="F116" s="81"/>
    </row>
    <row r="117" spans="1:6" ht="12.75">
      <c r="A117" s="14" t="s">
        <v>552</v>
      </c>
      <c r="B117" s="16">
        <v>130000</v>
      </c>
      <c r="C117" s="14" t="s">
        <v>194</v>
      </c>
      <c r="E117"/>
      <c r="F117" s="81"/>
    </row>
    <row r="118" spans="1:6" ht="12.75">
      <c r="A118" s="14" t="s">
        <v>552</v>
      </c>
      <c r="B118" s="16">
        <v>150000</v>
      </c>
      <c r="C118" s="14" t="s">
        <v>193</v>
      </c>
      <c r="E118"/>
      <c r="F118" s="81"/>
    </row>
    <row r="119" spans="1:6" ht="12.75">
      <c r="A119" s="14" t="s">
        <v>552</v>
      </c>
      <c r="B119" s="16">
        <v>340000</v>
      </c>
      <c r="C119" s="14" t="s">
        <v>315</v>
      </c>
      <c r="E119"/>
      <c r="F119" s="81"/>
    </row>
    <row r="120" spans="1:6" ht="12.75">
      <c r="A120" s="14" t="s">
        <v>552</v>
      </c>
      <c r="B120" s="16">
        <v>160000</v>
      </c>
      <c r="C120" s="14" t="s">
        <v>314</v>
      </c>
      <c r="E120"/>
      <c r="F120" s="81"/>
    </row>
    <row r="121" spans="1:6" ht="12.75">
      <c r="A121" s="14" t="s">
        <v>552</v>
      </c>
      <c r="B121" s="16">
        <v>160000</v>
      </c>
      <c r="C121" s="14" t="s">
        <v>316</v>
      </c>
      <c r="E121"/>
      <c r="F121" s="81"/>
    </row>
    <row r="122" spans="1:6" ht="12.75">
      <c r="A122" s="14" t="s">
        <v>552</v>
      </c>
      <c r="B122" s="16">
        <v>60000</v>
      </c>
      <c r="C122" s="14" t="s">
        <v>407</v>
      </c>
      <c r="E122"/>
      <c r="F122" s="81"/>
    </row>
    <row r="123" spans="1:6" ht="12.75">
      <c r="A123" s="14" t="s">
        <v>281</v>
      </c>
      <c r="B123" s="16">
        <v>12800</v>
      </c>
      <c r="C123" s="14" t="s">
        <v>194</v>
      </c>
      <c r="E123"/>
      <c r="F123" s="81"/>
    </row>
    <row r="124" spans="1:6" ht="12.75">
      <c r="A124" s="14" t="s">
        <v>281</v>
      </c>
      <c r="B124" s="15">
        <v>256000</v>
      </c>
      <c r="C124" s="14" t="s">
        <v>193</v>
      </c>
      <c r="E124"/>
      <c r="F124" s="81"/>
    </row>
    <row r="125" spans="1:6" ht="12.75">
      <c r="A125" s="14" t="s">
        <v>281</v>
      </c>
      <c r="B125" s="15">
        <v>256000</v>
      </c>
      <c r="C125" s="14" t="s">
        <v>315</v>
      </c>
      <c r="E125"/>
      <c r="F125" s="81"/>
    </row>
    <row r="126" spans="1:6" ht="12.75">
      <c r="A126" s="14" t="s">
        <v>281</v>
      </c>
      <c r="B126" s="15">
        <v>64000</v>
      </c>
      <c r="C126" s="14" t="s">
        <v>314</v>
      </c>
      <c r="E126"/>
      <c r="F126" s="81"/>
    </row>
    <row r="127" spans="1:6" ht="12.75">
      <c r="A127" s="14" t="s">
        <v>281</v>
      </c>
      <c r="B127" s="15">
        <v>0</v>
      </c>
      <c r="C127" s="14" t="s">
        <v>316</v>
      </c>
      <c r="E127"/>
      <c r="F127" s="81"/>
    </row>
    <row r="128" spans="1:6" ht="12.75">
      <c r="A128" s="14" t="s">
        <v>281</v>
      </c>
      <c r="B128" s="15">
        <v>691200</v>
      </c>
      <c r="C128" s="14" t="s">
        <v>407</v>
      </c>
      <c r="E128"/>
      <c r="F128" s="81"/>
    </row>
    <row r="129" spans="1:6" ht="12.75">
      <c r="A129" s="14" t="s">
        <v>408</v>
      </c>
      <c r="B129" s="16">
        <v>25000</v>
      </c>
      <c r="C129" s="14" t="s">
        <v>194</v>
      </c>
      <c r="E129"/>
      <c r="F129" s="81"/>
    </row>
    <row r="130" spans="1:6" ht="12.75">
      <c r="A130" s="14" t="s">
        <v>408</v>
      </c>
      <c r="B130" s="16">
        <v>95000</v>
      </c>
      <c r="C130" s="14" t="s">
        <v>193</v>
      </c>
      <c r="E130"/>
      <c r="F130" s="81"/>
    </row>
    <row r="131" spans="1:6" ht="12.75">
      <c r="A131" s="14" t="s">
        <v>408</v>
      </c>
      <c r="B131" s="16">
        <v>290000</v>
      </c>
      <c r="C131" s="14" t="s">
        <v>315</v>
      </c>
      <c r="E131"/>
      <c r="F131" s="81"/>
    </row>
    <row r="132" spans="1:6" ht="12.75">
      <c r="A132" s="14" t="s">
        <v>408</v>
      </c>
      <c r="B132" s="16">
        <v>90000</v>
      </c>
      <c r="C132" s="14" t="s">
        <v>314</v>
      </c>
      <c r="E132"/>
      <c r="F132" s="81"/>
    </row>
    <row r="133" spans="1:6" ht="12.75">
      <c r="A133" s="14" t="s">
        <v>408</v>
      </c>
      <c r="B133" s="16">
        <v>0</v>
      </c>
      <c r="C133" s="14" t="s">
        <v>316</v>
      </c>
      <c r="E133"/>
      <c r="F133" s="81"/>
    </row>
    <row r="134" spans="1:6" ht="12.75">
      <c r="A134" s="14" t="s">
        <v>408</v>
      </c>
      <c r="B134" s="16">
        <v>0</v>
      </c>
      <c r="C134" s="14" t="s">
        <v>407</v>
      </c>
      <c r="E134"/>
      <c r="F134" s="81"/>
    </row>
    <row r="135" spans="1:6" ht="12.75">
      <c r="A135" s="14" t="s">
        <v>283</v>
      </c>
      <c r="B135" s="16">
        <v>30000</v>
      </c>
      <c r="C135" s="14" t="s">
        <v>194</v>
      </c>
      <c r="E135"/>
      <c r="F135" s="81"/>
    </row>
    <row r="136" spans="1:6" ht="12.75">
      <c r="A136" s="14" t="s">
        <v>283</v>
      </c>
      <c r="B136" s="16">
        <v>150000</v>
      </c>
      <c r="C136" s="14" t="s">
        <v>193</v>
      </c>
      <c r="E136"/>
      <c r="F136" s="81"/>
    </row>
    <row r="137" spans="1:6" ht="12.75">
      <c r="A137" s="14" t="s">
        <v>283</v>
      </c>
      <c r="B137" s="16">
        <v>5000</v>
      </c>
      <c r="C137" s="14" t="s">
        <v>315</v>
      </c>
      <c r="E137"/>
      <c r="F137" s="81"/>
    </row>
    <row r="138" spans="1:6" ht="12.75">
      <c r="A138" s="14" t="s">
        <v>283</v>
      </c>
      <c r="B138" s="16">
        <v>0</v>
      </c>
      <c r="C138" s="14" t="s">
        <v>314</v>
      </c>
      <c r="E138"/>
      <c r="F138" s="81"/>
    </row>
    <row r="139" spans="1:6" ht="12.75">
      <c r="A139" s="14" t="s">
        <v>283</v>
      </c>
      <c r="B139" s="16">
        <v>35000</v>
      </c>
      <c r="C139" s="14" t="s">
        <v>316</v>
      </c>
      <c r="E139"/>
      <c r="F139" s="81"/>
    </row>
    <row r="140" spans="1:6" ht="12.75">
      <c r="A140" s="14" t="s">
        <v>283</v>
      </c>
      <c r="B140" s="16">
        <v>0</v>
      </c>
      <c r="C140" s="14" t="s">
        <v>407</v>
      </c>
      <c r="E140"/>
      <c r="F140" s="81"/>
    </row>
    <row r="141" spans="1:6" ht="12.75">
      <c r="A141" s="14" t="s">
        <v>277</v>
      </c>
      <c r="B141" s="16">
        <v>77000.00000000001</v>
      </c>
      <c r="C141" s="14" t="s">
        <v>194</v>
      </c>
      <c r="E141"/>
      <c r="F141" s="81"/>
    </row>
    <row r="142" spans="1:6" ht="12.75">
      <c r="A142" s="14" t="s">
        <v>277</v>
      </c>
      <c r="B142" s="16">
        <v>605000</v>
      </c>
      <c r="C142" s="14" t="s">
        <v>193</v>
      </c>
      <c r="E142"/>
      <c r="F142" s="81"/>
    </row>
    <row r="143" spans="1:6" ht="12.75">
      <c r="A143" s="14" t="s">
        <v>277</v>
      </c>
      <c r="B143" s="16">
        <v>55000</v>
      </c>
      <c r="C143" s="14" t="s">
        <v>315</v>
      </c>
      <c r="E143"/>
      <c r="F143" s="81"/>
    </row>
    <row r="144" spans="1:6" ht="12.75">
      <c r="A144" s="14" t="s">
        <v>277</v>
      </c>
      <c r="B144" s="16">
        <v>110000</v>
      </c>
      <c r="C144" s="14" t="s">
        <v>314</v>
      </c>
      <c r="E144"/>
      <c r="F144" s="81"/>
    </row>
    <row r="145" spans="1:6" ht="12.75">
      <c r="A145" s="14" t="s">
        <v>277</v>
      </c>
      <c r="B145" s="16">
        <v>110000</v>
      </c>
      <c r="C145" s="14" t="s">
        <v>316</v>
      </c>
      <c r="E145"/>
      <c r="F145" s="81"/>
    </row>
    <row r="146" spans="1:6" ht="12.75">
      <c r="A146" s="14" t="s">
        <v>277</v>
      </c>
      <c r="B146" s="16">
        <v>143000</v>
      </c>
      <c r="C146" s="14" t="s">
        <v>407</v>
      </c>
      <c r="E146"/>
      <c r="F146" s="81"/>
    </row>
    <row r="147" spans="1:6" ht="12.75">
      <c r="A147" s="14" t="s">
        <v>278</v>
      </c>
      <c r="B147" s="15">
        <v>110000</v>
      </c>
      <c r="C147" s="14" t="s">
        <v>194</v>
      </c>
      <c r="E147"/>
      <c r="F147" s="81"/>
    </row>
    <row r="148" spans="1:6" ht="12.75">
      <c r="A148" s="14" t="s">
        <v>278</v>
      </c>
      <c r="B148" s="15">
        <v>135000</v>
      </c>
      <c r="C148" s="14" t="s">
        <v>193</v>
      </c>
      <c r="E148"/>
      <c r="F148" s="81"/>
    </row>
    <row r="149" spans="1:6" ht="12.75">
      <c r="A149" s="14" t="s">
        <v>278</v>
      </c>
      <c r="B149" s="15">
        <v>80000</v>
      </c>
      <c r="C149" s="14" t="s">
        <v>315</v>
      </c>
      <c r="E149"/>
      <c r="F149" s="81"/>
    </row>
    <row r="150" spans="1:6" ht="12.75">
      <c r="A150" s="14" t="s">
        <v>278</v>
      </c>
      <c r="B150" s="15">
        <v>30000</v>
      </c>
      <c r="C150" s="14" t="s">
        <v>314</v>
      </c>
      <c r="E150"/>
      <c r="F150" s="81"/>
    </row>
    <row r="151" spans="1:6" ht="12.75">
      <c r="A151" s="14" t="s">
        <v>278</v>
      </c>
      <c r="B151" s="15">
        <v>145000</v>
      </c>
      <c r="C151" s="14" t="s">
        <v>316</v>
      </c>
      <c r="E151"/>
      <c r="F151" s="81"/>
    </row>
    <row r="152" spans="1:6" ht="12.75">
      <c r="A152" s="14" t="s">
        <v>278</v>
      </c>
      <c r="B152" s="15">
        <v>0</v>
      </c>
      <c r="C152" s="14" t="s">
        <v>407</v>
      </c>
      <c r="E152"/>
      <c r="F152" s="81"/>
    </row>
    <row r="153" spans="1:6" ht="12.75">
      <c r="A153" s="14" t="s">
        <v>279</v>
      </c>
      <c r="B153" s="16">
        <v>35000</v>
      </c>
      <c r="C153" s="14" t="s">
        <v>194</v>
      </c>
      <c r="E153"/>
      <c r="F153" s="81"/>
    </row>
    <row r="154" spans="1:6" ht="12.75">
      <c r="A154" s="14" t="s">
        <v>279</v>
      </c>
      <c r="B154" s="16">
        <v>105000</v>
      </c>
      <c r="C154" s="14" t="s">
        <v>193</v>
      </c>
      <c r="E154"/>
      <c r="F154" s="81"/>
    </row>
    <row r="155" spans="1:6" ht="12.75">
      <c r="A155" s="14" t="s">
        <v>279</v>
      </c>
      <c r="B155" s="16">
        <v>330000</v>
      </c>
      <c r="C155" s="14" t="s">
        <v>315</v>
      </c>
      <c r="E155"/>
      <c r="F155" s="81"/>
    </row>
    <row r="156" spans="1:6" ht="12.75">
      <c r="A156" s="14" t="s">
        <v>279</v>
      </c>
      <c r="B156" s="16">
        <v>187000</v>
      </c>
      <c r="C156" s="14" t="s">
        <v>314</v>
      </c>
      <c r="E156"/>
      <c r="F156" s="81"/>
    </row>
    <row r="157" spans="1:6" ht="12.75">
      <c r="A157" s="14" t="s">
        <v>279</v>
      </c>
      <c r="B157" s="16">
        <v>109000</v>
      </c>
      <c r="C157" s="14" t="s">
        <v>316</v>
      </c>
      <c r="E157"/>
      <c r="F157" s="81"/>
    </row>
    <row r="158" spans="1:6" ht="12.75">
      <c r="A158" s="14" t="s">
        <v>279</v>
      </c>
      <c r="B158" s="16">
        <v>14000</v>
      </c>
      <c r="C158" s="14" t="s">
        <v>407</v>
      </c>
      <c r="E158"/>
      <c r="F158" s="81"/>
    </row>
    <row r="159" spans="1:6" ht="12.75">
      <c r="A159" s="14" t="s">
        <v>282</v>
      </c>
      <c r="B159" s="15">
        <v>37750</v>
      </c>
      <c r="C159" s="14" t="s">
        <v>194</v>
      </c>
      <c r="E159"/>
      <c r="F159" s="81"/>
    </row>
    <row r="160" spans="1:6" ht="12.75">
      <c r="A160" s="14" t="s">
        <v>282</v>
      </c>
      <c r="B160" s="15">
        <v>75500</v>
      </c>
      <c r="C160" s="14" t="s">
        <v>193</v>
      </c>
      <c r="E160"/>
      <c r="F160" s="81"/>
    </row>
    <row r="161" spans="1:6" ht="12.75">
      <c r="A161" s="14" t="s">
        <v>282</v>
      </c>
      <c r="B161" s="15">
        <v>339750</v>
      </c>
      <c r="C161" s="14" t="s">
        <v>315</v>
      </c>
      <c r="E161"/>
      <c r="F161" s="81"/>
    </row>
    <row r="162" spans="1:6" ht="12.75">
      <c r="A162" s="14" t="s">
        <v>282</v>
      </c>
      <c r="B162" s="15">
        <v>151000</v>
      </c>
      <c r="C162" s="14" t="s">
        <v>314</v>
      </c>
      <c r="E162"/>
      <c r="F162" s="81"/>
    </row>
    <row r="163" spans="1:6" ht="12.75">
      <c r="A163" s="14" t="s">
        <v>282</v>
      </c>
      <c r="B163" s="15">
        <v>113250</v>
      </c>
      <c r="C163" s="14" t="s">
        <v>316</v>
      </c>
      <c r="E163"/>
      <c r="F163" s="81"/>
    </row>
    <row r="164" spans="1:6" ht="12.75">
      <c r="A164" s="14" t="s">
        <v>282</v>
      </c>
      <c r="B164" s="15">
        <v>37750</v>
      </c>
      <c r="C164" s="14" t="s">
        <v>407</v>
      </c>
      <c r="E164"/>
      <c r="F164" s="81"/>
    </row>
    <row r="165" spans="1:6" ht="12.75">
      <c r="A165" s="14" t="s">
        <v>286</v>
      </c>
      <c r="B165" s="16">
        <v>225000</v>
      </c>
      <c r="C165" s="14" t="s">
        <v>194</v>
      </c>
      <c r="E165"/>
      <c r="F165" s="81"/>
    </row>
    <row r="166" spans="1:6" ht="12.75">
      <c r="A166" s="14" t="s">
        <v>286</v>
      </c>
      <c r="B166" s="16">
        <v>7500</v>
      </c>
      <c r="C166" s="14" t="s">
        <v>193</v>
      </c>
      <c r="E166"/>
      <c r="F166" s="81"/>
    </row>
    <row r="167" spans="1:6" ht="12.75">
      <c r="A167" s="14" t="s">
        <v>286</v>
      </c>
      <c r="B167" s="16">
        <v>37500</v>
      </c>
      <c r="C167" s="14" t="s">
        <v>315</v>
      </c>
      <c r="E167"/>
      <c r="F167" s="81"/>
    </row>
    <row r="168" spans="1:6" ht="12.75">
      <c r="A168" s="14" t="s">
        <v>286</v>
      </c>
      <c r="B168" s="16">
        <v>232500</v>
      </c>
      <c r="C168" s="14" t="s">
        <v>314</v>
      </c>
      <c r="E168"/>
      <c r="F168" s="81"/>
    </row>
    <row r="169" spans="1:6" ht="12.75">
      <c r="A169" s="14" t="s">
        <v>286</v>
      </c>
      <c r="B169" s="16">
        <v>232500</v>
      </c>
      <c r="C169" s="14" t="s">
        <v>316</v>
      </c>
      <c r="E169"/>
      <c r="F169" s="81"/>
    </row>
    <row r="170" spans="1:6" ht="12.75">
      <c r="A170" s="14" t="s">
        <v>286</v>
      </c>
      <c r="B170" s="16">
        <v>15000</v>
      </c>
      <c r="C170" s="14" t="s">
        <v>407</v>
      </c>
      <c r="E170"/>
      <c r="F170" s="81"/>
    </row>
    <row r="171" spans="1:6" ht="12.75">
      <c r="A171" s="14" t="s">
        <v>287</v>
      </c>
      <c r="B171" s="15">
        <v>15000</v>
      </c>
      <c r="C171" s="14" t="s">
        <v>194</v>
      </c>
      <c r="E171"/>
      <c r="F171" s="81"/>
    </row>
    <row r="172" spans="1:6" ht="12.75">
      <c r="A172" s="14" t="s">
        <v>287</v>
      </c>
      <c r="B172" s="15">
        <v>0</v>
      </c>
      <c r="C172" s="14" t="s">
        <v>193</v>
      </c>
      <c r="E172"/>
      <c r="F172" s="81"/>
    </row>
    <row r="173" spans="1:6" ht="12.75">
      <c r="A173" s="14" t="s">
        <v>287</v>
      </c>
      <c r="B173" s="15">
        <v>35000</v>
      </c>
      <c r="C173" s="14" t="s">
        <v>315</v>
      </c>
      <c r="E173"/>
      <c r="F173" s="81"/>
    </row>
    <row r="174" spans="1:6" ht="12.75">
      <c r="A174" s="14" t="s">
        <v>287</v>
      </c>
      <c r="B174" s="15">
        <v>102000</v>
      </c>
      <c r="C174" s="14" t="s">
        <v>314</v>
      </c>
      <c r="E174"/>
      <c r="F174" s="81"/>
    </row>
    <row r="175" spans="1:6" ht="12.75">
      <c r="A175" s="14" t="s">
        <v>287</v>
      </c>
      <c r="B175" s="15">
        <v>10000</v>
      </c>
      <c r="C175" s="14" t="s">
        <v>316</v>
      </c>
      <c r="E175"/>
      <c r="F175" s="81"/>
    </row>
    <row r="176" spans="1:6" ht="12.75">
      <c r="A176" s="14" t="s">
        <v>287</v>
      </c>
      <c r="B176" s="15">
        <v>8000</v>
      </c>
      <c r="C176" s="14" t="s">
        <v>407</v>
      </c>
      <c r="E176"/>
      <c r="F176" s="81"/>
    </row>
    <row r="177" spans="1:6" ht="12.75">
      <c r="A177" s="14" t="s">
        <v>288</v>
      </c>
      <c r="B177" s="15">
        <v>96000</v>
      </c>
      <c r="C177" s="14" t="s">
        <v>194</v>
      </c>
      <c r="E177"/>
      <c r="F177" s="81"/>
    </row>
    <row r="178" spans="1:6" ht="12.75">
      <c r="A178" s="14" t="s">
        <v>288</v>
      </c>
      <c r="B178" s="15">
        <v>0</v>
      </c>
      <c r="C178" s="14" t="s">
        <v>193</v>
      </c>
      <c r="E178"/>
      <c r="F178" s="81"/>
    </row>
    <row r="179" spans="1:6" ht="12.75">
      <c r="A179" s="14" t="s">
        <v>288</v>
      </c>
      <c r="B179" s="15">
        <v>0</v>
      </c>
      <c r="C179" s="14" t="s">
        <v>315</v>
      </c>
      <c r="E179"/>
      <c r="F179" s="81"/>
    </row>
    <row r="180" spans="1:6" ht="12.75">
      <c r="A180" s="14" t="s">
        <v>288</v>
      </c>
      <c r="B180" s="15">
        <v>116000</v>
      </c>
      <c r="C180" s="14" t="s">
        <v>314</v>
      </c>
      <c r="E180"/>
      <c r="F180" s="81"/>
    </row>
    <row r="181" spans="1:6" ht="12.75">
      <c r="A181" s="14" t="s">
        <v>288</v>
      </c>
      <c r="B181" s="15">
        <v>41000</v>
      </c>
      <c r="C181" s="14" t="s">
        <v>316</v>
      </c>
      <c r="E181"/>
      <c r="F181" s="81"/>
    </row>
    <row r="182" spans="1:6" ht="12.75">
      <c r="A182" s="14" t="s">
        <v>288</v>
      </c>
      <c r="B182" s="15">
        <v>31000</v>
      </c>
      <c r="C182" s="14" t="s">
        <v>407</v>
      </c>
      <c r="E182"/>
      <c r="F182" s="81"/>
    </row>
    <row r="183" spans="5:6" ht="12.75">
      <c r="E183"/>
      <c r="F183" s="81"/>
    </row>
    <row r="184" spans="5:6" ht="12.75">
      <c r="E184"/>
      <c r="F184" s="81"/>
    </row>
    <row r="185" spans="5:6" ht="12.75">
      <c r="E185"/>
      <c r="F185" s="81"/>
    </row>
    <row r="186" spans="5:6" ht="12.75">
      <c r="E186"/>
      <c r="F186" s="81"/>
    </row>
    <row r="187" spans="5:6" ht="12.75">
      <c r="E187"/>
      <c r="F187" s="81"/>
    </row>
    <row r="188" spans="5:6" ht="12.75">
      <c r="E188"/>
      <c r="F188" s="81"/>
    </row>
    <row r="189" spans="5:6" ht="12.75">
      <c r="E189"/>
      <c r="F189" s="81"/>
    </row>
    <row r="190" spans="5:6" ht="12.75">
      <c r="E190"/>
      <c r="F190" s="81"/>
    </row>
    <row r="191" spans="5:6" ht="12.75">
      <c r="E191"/>
      <c r="F191" s="81"/>
    </row>
    <row r="192" spans="5:6" ht="12.75">
      <c r="E192"/>
      <c r="F192" s="81"/>
    </row>
    <row r="193" spans="5:6" ht="12.75">
      <c r="E193"/>
      <c r="F193" s="81"/>
    </row>
    <row r="194" spans="5:6" ht="12.75">
      <c r="E194"/>
      <c r="F194" s="81"/>
    </row>
    <row r="195" spans="5:6" ht="12.75">
      <c r="E195"/>
      <c r="F195" s="81"/>
    </row>
    <row r="196" spans="5:6" ht="12.75">
      <c r="E196"/>
      <c r="F196" s="81"/>
    </row>
    <row r="197" spans="5:6" ht="12.75">
      <c r="E197"/>
      <c r="F197" s="81"/>
    </row>
    <row r="198" spans="5:6" ht="12.75">
      <c r="E198"/>
      <c r="F198" s="81"/>
    </row>
    <row r="199" spans="5:6" ht="12.75">
      <c r="E199"/>
      <c r="F199" s="81"/>
    </row>
    <row r="200" spans="5:6" ht="12.75">
      <c r="E200"/>
      <c r="F200" s="81"/>
    </row>
    <row r="201" spans="5:6" ht="12.75">
      <c r="E201"/>
      <c r="F201" s="81"/>
    </row>
    <row r="202" spans="5:6" ht="12.75">
      <c r="E202"/>
      <c r="F202" s="81"/>
    </row>
    <row r="203" spans="5:6" ht="12.75">
      <c r="E203"/>
      <c r="F203" s="81"/>
    </row>
    <row r="204" spans="5:6" ht="12.75">
      <c r="E204"/>
      <c r="F204" s="81"/>
    </row>
    <row r="205" spans="5:6" ht="12.75">
      <c r="E205"/>
      <c r="F205" s="81"/>
    </row>
    <row r="206" spans="5:6" ht="12.75">
      <c r="E206"/>
      <c r="F206" s="81"/>
    </row>
    <row r="207" spans="5:6" ht="12.75">
      <c r="E207"/>
      <c r="F207" s="81"/>
    </row>
    <row r="208" spans="5:6" ht="12.75">
      <c r="E208"/>
      <c r="F208" s="81"/>
    </row>
    <row r="209" spans="5:6" ht="12.75">
      <c r="E209"/>
      <c r="F209" s="81"/>
    </row>
    <row r="210" spans="5:6" ht="12.75">
      <c r="E210"/>
      <c r="F210" s="81"/>
    </row>
    <row r="211" spans="5:6" ht="12.75">
      <c r="E211"/>
      <c r="F211" s="81"/>
    </row>
    <row r="212" spans="5:6" ht="12.75">
      <c r="E212"/>
      <c r="F212" s="81"/>
    </row>
    <row r="213" spans="5:6" ht="12.75">
      <c r="E213"/>
      <c r="F213" s="81"/>
    </row>
    <row r="214" spans="5:6" ht="12.75">
      <c r="E214"/>
      <c r="F214" s="81"/>
    </row>
    <row r="215" spans="5:6" ht="12.75">
      <c r="E215"/>
      <c r="F215" s="81"/>
    </row>
    <row r="216" spans="5:6" ht="12.75">
      <c r="E216"/>
      <c r="F216" s="81"/>
    </row>
    <row r="217" spans="5:6" ht="12.75">
      <c r="E217"/>
      <c r="F217" s="81"/>
    </row>
    <row r="218" spans="5:6" ht="12.75">
      <c r="E218"/>
      <c r="F218" s="81"/>
    </row>
    <row r="219" spans="5:6" ht="12.75">
      <c r="E219"/>
      <c r="F219" s="81"/>
    </row>
    <row r="220" spans="5:6" ht="12.75">
      <c r="E220"/>
      <c r="F220" s="81"/>
    </row>
    <row r="221" spans="5:6" ht="12.75">
      <c r="E221"/>
      <c r="F221" s="81"/>
    </row>
    <row r="222" spans="5:6" ht="12.75">
      <c r="E222"/>
      <c r="F222" s="81"/>
    </row>
    <row r="223" spans="5:6" ht="12.75">
      <c r="E223"/>
      <c r="F223" s="81"/>
    </row>
    <row r="224" spans="5:6" ht="12.75">
      <c r="E224"/>
      <c r="F224" s="81"/>
    </row>
    <row r="225" spans="5:6" ht="12.75">
      <c r="E225"/>
      <c r="F225" s="81"/>
    </row>
    <row r="226" spans="5:6" ht="12.75">
      <c r="E226"/>
      <c r="F226" s="81"/>
    </row>
    <row r="227" spans="5:6" ht="12.75">
      <c r="E227"/>
      <c r="F227" s="81"/>
    </row>
    <row r="228" spans="5:6" ht="12.75">
      <c r="E228"/>
      <c r="F228" s="81"/>
    </row>
    <row r="229" spans="5:6" ht="12.75">
      <c r="E229"/>
      <c r="F229" s="81"/>
    </row>
    <row r="230" spans="5:6" ht="12.75">
      <c r="E230"/>
      <c r="F230" s="81"/>
    </row>
    <row r="231" spans="5:6" ht="12.75">
      <c r="E231"/>
      <c r="F231" s="81"/>
    </row>
    <row r="232" spans="5:6" ht="12.75">
      <c r="E232"/>
      <c r="F232" s="81"/>
    </row>
    <row r="233" spans="5:6" ht="12.75">
      <c r="E233"/>
      <c r="F233" s="81"/>
    </row>
    <row r="234" spans="5:6" ht="12.75">
      <c r="E234"/>
      <c r="F234" s="81"/>
    </row>
    <row r="235" spans="5:6" ht="12.75">
      <c r="E235"/>
      <c r="F235" s="81"/>
    </row>
    <row r="236" spans="5:6" ht="12.75">
      <c r="E236"/>
      <c r="F236" s="81"/>
    </row>
    <row r="237" spans="5:6" ht="12.75">
      <c r="E237"/>
      <c r="F237" s="81"/>
    </row>
    <row r="238" spans="5:6" ht="12.75">
      <c r="E238"/>
      <c r="F238" s="81"/>
    </row>
    <row r="239" spans="5:6" ht="12.75">
      <c r="E239"/>
      <c r="F239" s="81"/>
    </row>
    <row r="240" spans="5:6" ht="12.75">
      <c r="E240"/>
      <c r="F240" s="81"/>
    </row>
    <row r="241" spans="5:6" ht="12.75">
      <c r="E241"/>
      <c r="F241" s="81"/>
    </row>
    <row r="242" spans="5:6" ht="12.75">
      <c r="E242"/>
      <c r="F242" s="81"/>
    </row>
    <row r="243" spans="5:6" ht="12.75">
      <c r="E243"/>
      <c r="F243" s="81"/>
    </row>
    <row r="244" spans="5:6" ht="12.75">
      <c r="E244"/>
      <c r="F244" s="81"/>
    </row>
    <row r="245" spans="5:6" ht="12.75">
      <c r="E245"/>
      <c r="F245" s="81"/>
    </row>
    <row r="246" spans="5:6" ht="12.75">
      <c r="E246"/>
      <c r="F246" s="81"/>
    </row>
    <row r="247" spans="5:6" ht="12.75">
      <c r="E247"/>
      <c r="F247" s="81"/>
    </row>
    <row r="248" spans="5:6" ht="12.75">
      <c r="E248"/>
      <c r="F248" s="81"/>
    </row>
    <row r="249" spans="5:6" ht="12.75">
      <c r="E249"/>
      <c r="F249" s="81"/>
    </row>
    <row r="250" spans="5:6" ht="12.75">
      <c r="E250"/>
      <c r="F250" s="81"/>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N573"/>
  <sheetViews>
    <sheetView showGridLines="0" zoomScalePageLayoutView="0" workbookViewId="0" topLeftCell="A1">
      <selection activeCell="A1" sqref="A1"/>
    </sheetView>
  </sheetViews>
  <sheetFormatPr defaultColWidth="8.8515625" defaultRowHeight="12.75" outlineLevelRow="1"/>
  <cols>
    <col min="1" max="1" width="3.421875" style="90" customWidth="1"/>
    <col min="2" max="2" width="18.421875" style="90" customWidth="1"/>
    <col min="3" max="3" width="22.421875" style="90" customWidth="1"/>
    <col min="4" max="4" width="23.00390625" style="90" customWidth="1"/>
    <col min="5" max="5" width="15.421875" style="90" customWidth="1"/>
    <col min="6" max="6" width="23.28125" style="90" customWidth="1"/>
    <col min="7" max="7" width="21.140625" style="90" customWidth="1"/>
    <col min="8" max="8" width="25.00390625" style="90" customWidth="1"/>
    <col min="9" max="9" width="10.7109375" style="90" customWidth="1"/>
    <col min="10" max="11" width="8.8515625" style="90" customWidth="1"/>
    <col min="12" max="12" width="10.421875" style="90" customWidth="1"/>
    <col min="13" max="16384" width="8.8515625" style="90" customWidth="1"/>
  </cols>
  <sheetData>
    <row r="1" ht="75" customHeight="1">
      <c r="B1" s="95"/>
    </row>
    <row r="2" spans="1:2" ht="22.5">
      <c r="A2" s="143"/>
      <c r="B2" s="144"/>
    </row>
    <row r="3" spans="1:2" ht="22.5">
      <c r="A3" s="143"/>
      <c r="B3" s="144"/>
    </row>
    <row r="4" spans="1:2" ht="18.75" customHeight="1">
      <c r="A4" s="143"/>
      <c r="B4" s="144"/>
    </row>
    <row r="5" spans="1:2" ht="18.75" customHeight="1">
      <c r="A5" s="93"/>
      <c r="B5" s="93"/>
    </row>
    <row r="6" spans="1:2" ht="42" customHeight="1">
      <c r="A6" s="146"/>
      <c r="B6" s="144"/>
    </row>
    <row r="7" spans="1:2" ht="18.75" customHeight="1">
      <c r="A7" s="147"/>
      <c r="B7" s="95"/>
    </row>
    <row r="8" s="107" customFormat="1" ht="18">
      <c r="A8" s="88" t="s">
        <v>1678</v>
      </c>
    </row>
    <row r="9" ht="12.75"/>
    <row r="10" spans="1:2" s="119" customFormat="1" ht="15">
      <c r="A10" s="117">
        <v>1</v>
      </c>
      <c r="B10" s="119" t="s">
        <v>46</v>
      </c>
    </row>
    <row r="11" spans="2:4" s="130" customFormat="1" ht="12.75">
      <c r="B11" s="130" t="s">
        <v>324</v>
      </c>
      <c r="C11" s="130" t="s">
        <v>189</v>
      </c>
      <c r="D11" s="201" t="s">
        <v>1470</v>
      </c>
    </row>
    <row r="12" spans="2:13" ht="12.75" hidden="1" outlineLevel="1">
      <c r="B12" s="91" t="s">
        <v>140</v>
      </c>
      <c r="C12" s="90" t="s">
        <v>341</v>
      </c>
      <c r="D12" s="202">
        <v>50</v>
      </c>
      <c r="E12" s="91"/>
      <c r="G12" s="96"/>
      <c r="H12" s="96"/>
      <c r="I12" s="96"/>
      <c r="J12" s="96"/>
      <c r="K12" s="96"/>
      <c r="L12" s="96"/>
      <c r="M12" s="96"/>
    </row>
    <row r="13" spans="2:13" ht="12.75" hidden="1" outlineLevel="1">
      <c r="B13" s="91" t="s">
        <v>332</v>
      </c>
      <c r="C13" s="90" t="s">
        <v>554</v>
      </c>
      <c r="D13" s="203">
        <v>175</v>
      </c>
      <c r="E13" s="91"/>
      <c r="G13" s="96"/>
      <c r="H13" s="96"/>
      <c r="I13" s="96"/>
      <c r="J13" s="97"/>
      <c r="K13" s="97"/>
      <c r="L13" s="96"/>
      <c r="M13" s="96"/>
    </row>
    <row r="14" spans="2:13" ht="12.75" hidden="1" outlineLevel="1">
      <c r="B14" s="91" t="s">
        <v>332</v>
      </c>
      <c r="C14" s="90" t="s">
        <v>436</v>
      </c>
      <c r="D14" s="204">
        <v>350</v>
      </c>
      <c r="E14" s="91"/>
      <c r="G14" s="96"/>
      <c r="H14" s="96"/>
      <c r="I14" s="98"/>
      <c r="J14" s="99"/>
      <c r="K14" s="99"/>
      <c r="L14" s="96"/>
      <c r="M14" s="96"/>
    </row>
    <row r="15" spans="2:13" ht="12.75" hidden="1" outlineLevel="1">
      <c r="B15" s="91" t="s">
        <v>332</v>
      </c>
      <c r="C15" s="90" t="s">
        <v>286</v>
      </c>
      <c r="D15" s="203">
        <v>480</v>
      </c>
      <c r="E15" s="91"/>
      <c r="G15" s="96"/>
      <c r="H15" s="96"/>
      <c r="I15" s="98"/>
      <c r="J15" s="99"/>
      <c r="K15" s="99"/>
      <c r="L15" s="96"/>
      <c r="M15" s="96"/>
    </row>
    <row r="16" spans="2:13" ht="12.75" hidden="1" outlineLevel="1">
      <c r="B16" s="91" t="s">
        <v>141</v>
      </c>
      <c r="C16" s="90" t="s">
        <v>445</v>
      </c>
      <c r="D16" s="203">
        <v>220</v>
      </c>
      <c r="E16" s="91"/>
      <c r="G16" s="96"/>
      <c r="H16" s="96"/>
      <c r="I16" s="98"/>
      <c r="J16" s="99"/>
      <c r="K16" s="99"/>
      <c r="L16" s="96"/>
      <c r="M16" s="96"/>
    </row>
    <row r="17" spans="2:13" ht="12.75" hidden="1" outlineLevel="1">
      <c r="B17" s="91" t="s">
        <v>146</v>
      </c>
      <c r="C17" s="90" t="s">
        <v>349</v>
      </c>
      <c r="D17" s="205">
        <v>170</v>
      </c>
      <c r="E17" s="91"/>
      <c r="G17" s="96"/>
      <c r="H17" s="96"/>
      <c r="I17" s="98"/>
      <c r="J17" s="99"/>
      <c r="K17" s="99"/>
      <c r="L17" s="96"/>
      <c r="M17" s="96"/>
    </row>
    <row r="18" spans="2:5" ht="12.75" hidden="1" outlineLevel="1">
      <c r="B18" s="91" t="s">
        <v>146</v>
      </c>
      <c r="C18" s="90" t="s">
        <v>550</v>
      </c>
      <c r="D18" s="206">
        <v>300</v>
      </c>
      <c r="E18" s="91"/>
    </row>
    <row r="19" spans="2:5" ht="12.75" hidden="1" outlineLevel="1">
      <c r="B19" s="91" t="s">
        <v>142</v>
      </c>
      <c r="C19" s="90" t="s">
        <v>343</v>
      </c>
      <c r="D19" s="206">
        <v>175</v>
      </c>
      <c r="E19" s="91"/>
    </row>
    <row r="20" spans="2:5" ht="12.75" hidden="1" outlineLevel="1">
      <c r="B20" s="91" t="s">
        <v>143</v>
      </c>
      <c r="C20" s="90" t="s">
        <v>437</v>
      </c>
      <c r="D20" s="206">
        <v>65</v>
      </c>
      <c r="E20" s="91"/>
    </row>
    <row r="21" spans="2:5" ht="12.75" hidden="1" outlineLevel="1">
      <c r="B21" s="91" t="s">
        <v>143</v>
      </c>
      <c r="C21" s="90" t="s">
        <v>287</v>
      </c>
      <c r="D21" s="200">
        <v>70</v>
      </c>
      <c r="E21" s="91"/>
    </row>
    <row r="22" spans="2:5" ht="12.75" hidden="1" outlineLevel="1">
      <c r="B22" s="91" t="s">
        <v>144</v>
      </c>
      <c r="C22" s="90" t="s">
        <v>438</v>
      </c>
      <c r="D22" s="203">
        <v>30</v>
      </c>
      <c r="E22" s="91"/>
    </row>
    <row r="23" spans="2:5" ht="12.75" hidden="1" outlineLevel="1">
      <c r="B23" s="91" t="s">
        <v>153</v>
      </c>
      <c r="C23" s="90" t="s">
        <v>444</v>
      </c>
      <c r="D23" s="206">
        <v>40</v>
      </c>
      <c r="E23" s="91"/>
    </row>
    <row r="24" spans="2:5" ht="12.75" hidden="1" outlineLevel="1">
      <c r="B24" s="91" t="s">
        <v>153</v>
      </c>
      <c r="C24" s="90" t="s">
        <v>446</v>
      </c>
      <c r="D24" s="203">
        <v>165</v>
      </c>
      <c r="E24" s="91"/>
    </row>
    <row r="25" spans="2:5" ht="12.75" hidden="1" outlineLevel="1">
      <c r="B25" s="91" t="s">
        <v>139</v>
      </c>
      <c r="C25" s="90" t="s">
        <v>551</v>
      </c>
      <c r="D25" s="200">
        <v>220</v>
      </c>
      <c r="E25" s="91"/>
    </row>
    <row r="26" spans="2:13" ht="12.75" hidden="1" outlineLevel="1">
      <c r="B26" s="91" t="s">
        <v>148</v>
      </c>
      <c r="C26" s="90" t="s">
        <v>552</v>
      </c>
      <c r="D26" s="204">
        <v>88</v>
      </c>
      <c r="E26" s="91"/>
      <c r="G26" s="96"/>
      <c r="H26" s="96"/>
      <c r="I26" s="96"/>
      <c r="J26" s="96"/>
      <c r="K26" s="96"/>
      <c r="L26" s="96"/>
      <c r="M26" s="96"/>
    </row>
    <row r="27" spans="2:13" ht="12.75" hidden="1" outlineLevel="1">
      <c r="B27" s="91" t="s">
        <v>154</v>
      </c>
      <c r="C27" s="90" t="s">
        <v>352</v>
      </c>
      <c r="D27" s="206">
        <v>70</v>
      </c>
      <c r="E27" s="91"/>
      <c r="G27" s="96"/>
      <c r="H27" s="96"/>
      <c r="I27" s="96"/>
      <c r="J27" s="97"/>
      <c r="K27" s="97"/>
      <c r="L27" s="96"/>
      <c r="M27" s="96"/>
    </row>
    <row r="28" spans="2:13" ht="12.75" hidden="1" outlineLevel="1">
      <c r="B28" s="91" t="s">
        <v>154</v>
      </c>
      <c r="C28" s="90" t="s">
        <v>342</v>
      </c>
      <c r="D28" s="202">
        <v>250</v>
      </c>
      <c r="E28" s="91"/>
      <c r="G28" s="96"/>
      <c r="H28" s="96"/>
      <c r="I28" s="98"/>
      <c r="J28" s="99"/>
      <c r="K28" s="99"/>
      <c r="L28" s="96"/>
      <c r="M28" s="96"/>
    </row>
    <row r="29" spans="2:13" ht="12.75" hidden="1" outlineLevel="1">
      <c r="B29" s="91" t="s">
        <v>336</v>
      </c>
      <c r="C29" s="90" t="s">
        <v>281</v>
      </c>
      <c r="D29" s="200">
        <v>51</v>
      </c>
      <c r="E29" s="91"/>
      <c r="G29" s="96"/>
      <c r="H29" s="96"/>
      <c r="I29" s="98"/>
      <c r="J29" s="99"/>
      <c r="K29" s="99"/>
      <c r="L29" s="96"/>
      <c r="M29" s="96"/>
    </row>
    <row r="30" spans="2:13" ht="12.75" hidden="1" outlineLevel="1">
      <c r="B30" s="91" t="s">
        <v>334</v>
      </c>
      <c r="C30" s="90" t="s">
        <v>350</v>
      </c>
      <c r="D30" s="206">
        <v>27</v>
      </c>
      <c r="E30" s="91"/>
      <c r="G30" s="96"/>
      <c r="H30" s="96"/>
      <c r="I30" s="98"/>
      <c r="J30" s="99"/>
      <c r="K30" s="99"/>
      <c r="L30" s="96"/>
      <c r="M30" s="96"/>
    </row>
    <row r="31" spans="2:13" ht="12.75" hidden="1" outlineLevel="1">
      <c r="B31" s="91" t="s">
        <v>145</v>
      </c>
      <c r="C31" s="90" t="s">
        <v>439</v>
      </c>
      <c r="D31" s="205">
        <v>150</v>
      </c>
      <c r="E31" s="91"/>
      <c r="G31" s="96"/>
      <c r="H31" s="96"/>
      <c r="I31" s="98"/>
      <c r="J31" s="99"/>
      <c r="K31" s="99"/>
      <c r="L31" s="96"/>
      <c r="M31" s="96"/>
    </row>
    <row r="32" spans="2:5" ht="12.75" hidden="1" outlineLevel="1">
      <c r="B32" s="91" t="s">
        <v>335</v>
      </c>
      <c r="C32" s="90" t="s">
        <v>283</v>
      </c>
      <c r="D32" s="202">
        <v>170</v>
      </c>
      <c r="E32" s="91"/>
    </row>
    <row r="33" spans="2:5" ht="12.75" hidden="1" outlineLevel="1">
      <c r="B33" s="91" t="s">
        <v>152</v>
      </c>
      <c r="C33" s="90" t="s">
        <v>291</v>
      </c>
      <c r="D33" s="202">
        <v>40</v>
      </c>
      <c r="E33" s="91"/>
    </row>
    <row r="34" spans="2:5" ht="12.75" hidden="1" outlineLevel="1">
      <c r="B34" s="91" t="s">
        <v>149</v>
      </c>
      <c r="C34" s="90" t="s">
        <v>277</v>
      </c>
      <c r="D34" s="204">
        <v>230</v>
      </c>
      <c r="E34" s="91"/>
    </row>
    <row r="35" spans="2:5" ht="12.75" hidden="1" outlineLevel="1">
      <c r="B35" s="91" t="s">
        <v>150</v>
      </c>
      <c r="C35" s="90" t="s">
        <v>278</v>
      </c>
      <c r="D35" s="204">
        <v>175</v>
      </c>
      <c r="E35" s="91"/>
    </row>
    <row r="36" spans="2:5" ht="12.75" hidden="1" outlineLevel="1">
      <c r="B36" s="91" t="s">
        <v>155</v>
      </c>
      <c r="C36" s="90" t="s">
        <v>351</v>
      </c>
      <c r="D36" s="206">
        <v>600</v>
      </c>
      <c r="E36" s="91"/>
    </row>
    <row r="37" spans="2:5" ht="12.75" hidden="1" outlineLevel="1">
      <c r="B37" s="91" t="s">
        <v>155</v>
      </c>
      <c r="C37" s="90" t="s">
        <v>279</v>
      </c>
      <c r="D37" s="200">
        <v>105</v>
      </c>
      <c r="E37" s="91"/>
    </row>
    <row r="38" spans="2:5" ht="12.75" hidden="1" outlineLevel="1">
      <c r="B38" s="91" t="s">
        <v>147</v>
      </c>
      <c r="C38" s="90" t="s">
        <v>353</v>
      </c>
      <c r="D38" s="204">
        <v>20</v>
      </c>
      <c r="E38" s="91"/>
    </row>
    <row r="39" spans="2:5" ht="12.75" hidden="1" outlineLevel="1">
      <c r="B39" s="91" t="s">
        <v>151</v>
      </c>
      <c r="C39" s="90" t="s">
        <v>282</v>
      </c>
      <c r="D39" s="203">
        <v>70</v>
      </c>
      <c r="E39" s="91"/>
    </row>
    <row r="40" spans="2:5" ht="12.75" hidden="1" outlineLevel="1">
      <c r="B40" s="91" t="s">
        <v>337</v>
      </c>
      <c r="C40" s="90" t="s">
        <v>553</v>
      </c>
      <c r="D40" s="207">
        <v>65</v>
      </c>
      <c r="E40" s="91"/>
    </row>
    <row r="41" spans="2:5" ht="12.75" hidden="1" outlineLevel="1">
      <c r="B41" s="91" t="s">
        <v>156</v>
      </c>
      <c r="C41" s="90" t="s">
        <v>288</v>
      </c>
      <c r="D41" s="200">
        <v>120</v>
      </c>
      <c r="E41" s="91"/>
    </row>
    <row r="42" ht="12.75" collapsed="1"/>
    <row r="43" s="107" customFormat="1" ht="12.75">
      <c r="B43" s="107" t="str">
        <f>CONCATENATE("Average = ",INT(AVERAGE(D12:D41)))</f>
        <v>Average = 158</v>
      </c>
    </row>
    <row r="44" s="107" customFormat="1" ht="12.75">
      <c r="B44" s="107" t="str">
        <f>CONCATENATE("Low = ",MIN($D12:$D$41))</f>
        <v>Low = 20</v>
      </c>
    </row>
    <row r="45" s="107" customFormat="1" ht="12.75">
      <c r="B45" s="107" t="str">
        <f>CONCATENATE("High = ",MAX($D12:$D$41))</f>
        <v>High = 600</v>
      </c>
    </row>
    <row r="46" s="107" customFormat="1" ht="12.75">
      <c r="B46" s="107" t="str">
        <f>CONCATENATE("Total = ",SUM($D12:$D$41))</f>
        <v>Total = 4741</v>
      </c>
    </row>
    <row r="47" s="107" customFormat="1" ht="12.75"/>
    <row r="48" spans="3:13" s="107" customFormat="1" ht="12.75">
      <c r="C48" s="139" t="s">
        <v>1323</v>
      </c>
      <c r="G48" s="133"/>
      <c r="H48" s="133"/>
      <c r="I48" s="133"/>
      <c r="J48" s="133"/>
      <c r="K48" s="133"/>
      <c r="L48" s="133"/>
      <c r="M48" s="133"/>
    </row>
    <row r="49" spans="3:13" ht="12.75">
      <c r="C49" s="90" t="s">
        <v>1683</v>
      </c>
      <c r="G49" s="96"/>
      <c r="H49" s="96"/>
      <c r="I49" s="96"/>
      <c r="J49" s="97"/>
      <c r="K49" s="97"/>
      <c r="L49" s="96"/>
      <c r="M49" s="96"/>
    </row>
    <row r="50" spans="3:13" ht="12.75">
      <c r="C50" s="90" t="s">
        <v>1684</v>
      </c>
      <c r="G50" s="96"/>
      <c r="H50" s="96"/>
      <c r="I50" s="98"/>
      <c r="J50" s="99"/>
      <c r="K50" s="99"/>
      <c r="L50" s="96"/>
      <c r="M50" s="96"/>
    </row>
    <row r="51" spans="7:13" ht="12.75" hidden="1" outlineLevel="1">
      <c r="G51" s="96"/>
      <c r="H51" s="96"/>
      <c r="I51" s="98"/>
      <c r="J51" s="99"/>
      <c r="K51" s="99"/>
      <c r="L51" s="96"/>
      <c r="M51" s="96"/>
    </row>
    <row r="52" spans="3:13" ht="12.75" hidden="1" outlineLevel="1">
      <c r="C52" s="106">
        <v>2011</v>
      </c>
      <c r="D52" s="106">
        <v>2014</v>
      </c>
      <c r="E52" s="278" t="s">
        <v>1322</v>
      </c>
      <c r="F52" s="278"/>
      <c r="G52" s="96"/>
      <c r="H52" s="96"/>
      <c r="I52" s="98" t="s">
        <v>1508</v>
      </c>
      <c r="J52" s="99">
        <v>20.14</v>
      </c>
      <c r="K52" s="99"/>
      <c r="L52" s="96"/>
      <c r="M52" s="96"/>
    </row>
    <row r="53" spans="3:13" ht="12.75" hidden="1" outlineLevel="1">
      <c r="C53" s="90" t="str">
        <f>CONCATENATE("Average"," = ",I53)</f>
        <v>Average = 149</v>
      </c>
      <c r="D53" s="90" t="str">
        <f>B43</f>
        <v>Average = 158</v>
      </c>
      <c r="E53" s="189">
        <f>(J53-I53)/I53</f>
        <v>0.053691275167785234</v>
      </c>
      <c r="F53" s="190"/>
      <c r="G53" s="96"/>
      <c r="H53" s="96" t="s">
        <v>1510</v>
      </c>
      <c r="I53" s="98">
        <v>149</v>
      </c>
      <c r="J53" s="99">
        <v>157</v>
      </c>
      <c r="K53" s="99"/>
      <c r="L53" s="96"/>
      <c r="M53" s="96"/>
    </row>
    <row r="54" spans="3:11" ht="12.75" hidden="1" outlineLevel="1">
      <c r="C54" s="90" t="str">
        <f>CONCATENATE("Total"," = ",I54)</f>
        <v>Total = 4043</v>
      </c>
      <c r="D54" s="90" t="str">
        <f>B46</f>
        <v>Total = 4741</v>
      </c>
      <c r="E54" s="189">
        <f>(J54-I54)/I54</f>
        <v>0.17264407618105368</v>
      </c>
      <c r="F54" s="190"/>
      <c r="G54" s="96"/>
      <c r="H54" s="96" t="s">
        <v>210</v>
      </c>
      <c r="I54" s="96">
        <v>4043</v>
      </c>
      <c r="J54" s="96">
        <f>SUM(D12:D41)</f>
        <v>4741</v>
      </c>
      <c r="K54" s="96"/>
    </row>
    <row r="55" ht="12.75" collapsed="1"/>
    <row r="56" spans="1:2" s="119" customFormat="1" ht="15">
      <c r="A56" s="117">
        <v>2</v>
      </c>
      <c r="B56" s="119" t="s">
        <v>195</v>
      </c>
    </row>
    <row r="57" spans="2:4" s="130" customFormat="1" ht="12.75">
      <c r="B57" s="130" t="s">
        <v>1567</v>
      </c>
      <c r="C57" s="181"/>
      <c r="D57" s="181"/>
    </row>
    <row r="58" spans="2:5" ht="12.75" hidden="1" outlineLevel="1">
      <c r="B58" s="268" t="s">
        <v>410</v>
      </c>
      <c r="C58" s="268" t="s">
        <v>411</v>
      </c>
      <c r="D58" s="163"/>
      <c r="E58" s="164"/>
    </row>
    <row r="59" spans="2:5" ht="12.75" hidden="1" outlineLevel="1">
      <c r="B59" s="270" t="s">
        <v>409</v>
      </c>
      <c r="C59" s="197" t="s">
        <v>197</v>
      </c>
      <c r="D59" s="198" t="s">
        <v>196</v>
      </c>
      <c r="E59" s="197" t="s">
        <v>210</v>
      </c>
    </row>
    <row r="60" spans="2:5" ht="12.75" hidden="1" outlineLevel="1">
      <c r="B60" s="191" t="s">
        <v>341</v>
      </c>
      <c r="C60" s="165">
        <v>0</v>
      </c>
      <c r="D60" s="166">
        <v>50</v>
      </c>
      <c r="E60" s="165">
        <v>50</v>
      </c>
    </row>
    <row r="61" spans="2:5" ht="12.75" hidden="1" outlineLevel="1">
      <c r="B61" s="192" t="s">
        <v>350</v>
      </c>
      <c r="C61" s="167">
        <v>0</v>
      </c>
      <c r="D61" s="168">
        <v>27</v>
      </c>
      <c r="E61" s="167">
        <v>27</v>
      </c>
    </row>
    <row r="62" spans="2:5" ht="12.75" hidden="1" outlineLevel="1">
      <c r="B62" s="192" t="s">
        <v>554</v>
      </c>
      <c r="C62" s="167">
        <v>5</v>
      </c>
      <c r="D62" s="168">
        <v>170</v>
      </c>
      <c r="E62" s="167">
        <v>175</v>
      </c>
    </row>
    <row r="63" spans="2:5" ht="12.75" hidden="1" outlineLevel="1">
      <c r="B63" s="192" t="s">
        <v>553</v>
      </c>
      <c r="C63" s="167">
        <v>0</v>
      </c>
      <c r="D63" s="168">
        <v>65</v>
      </c>
      <c r="E63" s="167">
        <v>65</v>
      </c>
    </row>
    <row r="64" spans="2:5" ht="12.75" hidden="1" outlineLevel="1">
      <c r="B64" s="192" t="s">
        <v>352</v>
      </c>
      <c r="C64" s="167">
        <v>10</v>
      </c>
      <c r="D64" s="168">
        <v>60</v>
      </c>
      <c r="E64" s="167">
        <v>70</v>
      </c>
    </row>
    <row r="65" spans="2:5" ht="12.75" hidden="1" outlineLevel="1">
      <c r="B65" s="192" t="s">
        <v>342</v>
      </c>
      <c r="C65" s="167">
        <v>50</v>
      </c>
      <c r="D65" s="168">
        <v>200</v>
      </c>
      <c r="E65" s="167">
        <v>250</v>
      </c>
    </row>
    <row r="66" spans="2:5" ht="12.75" hidden="1" outlineLevel="1">
      <c r="B66" s="192" t="s">
        <v>445</v>
      </c>
      <c r="C66" s="167">
        <v>30</v>
      </c>
      <c r="D66" s="168">
        <v>190</v>
      </c>
      <c r="E66" s="167">
        <v>220</v>
      </c>
    </row>
    <row r="67" spans="2:5" ht="12.75" hidden="1" outlineLevel="1">
      <c r="B67" s="192" t="s">
        <v>349</v>
      </c>
      <c r="C67" s="167">
        <v>30</v>
      </c>
      <c r="D67" s="168">
        <v>140</v>
      </c>
      <c r="E67" s="167">
        <v>170</v>
      </c>
    </row>
    <row r="68" spans="2:5" ht="12.75" hidden="1" outlineLevel="1">
      <c r="B68" s="192" t="s">
        <v>444</v>
      </c>
      <c r="C68" s="167">
        <v>0</v>
      </c>
      <c r="D68" s="168">
        <v>40</v>
      </c>
      <c r="E68" s="167">
        <v>40</v>
      </c>
    </row>
    <row r="69" spans="2:5" ht="12.75" hidden="1" outlineLevel="1">
      <c r="B69" s="192" t="s">
        <v>343</v>
      </c>
      <c r="C69" s="167">
        <v>52</v>
      </c>
      <c r="D69" s="168">
        <v>123</v>
      </c>
      <c r="E69" s="167">
        <v>175</v>
      </c>
    </row>
    <row r="70" spans="2:5" ht="12.75" hidden="1" outlineLevel="1">
      <c r="B70" s="192" t="s">
        <v>436</v>
      </c>
      <c r="C70" s="167">
        <v>233</v>
      </c>
      <c r="D70" s="168">
        <v>116</v>
      </c>
      <c r="E70" s="167">
        <v>349</v>
      </c>
    </row>
    <row r="71" spans="2:5" ht="12.75" hidden="1" outlineLevel="1">
      <c r="B71" s="192" t="s">
        <v>437</v>
      </c>
      <c r="C71" s="167">
        <v>5</v>
      </c>
      <c r="D71" s="168">
        <v>60</v>
      </c>
      <c r="E71" s="167">
        <v>65</v>
      </c>
    </row>
    <row r="72" spans="2:5" ht="12.75" hidden="1" outlineLevel="1">
      <c r="B72" s="192" t="s">
        <v>438</v>
      </c>
      <c r="C72" s="167">
        <v>1</v>
      </c>
      <c r="D72" s="168">
        <v>29</v>
      </c>
      <c r="E72" s="167">
        <v>30</v>
      </c>
    </row>
    <row r="73" spans="2:5" ht="12.75" hidden="1" outlineLevel="1">
      <c r="B73" s="192" t="s">
        <v>446</v>
      </c>
      <c r="C73" s="167">
        <v>5</v>
      </c>
      <c r="D73" s="168">
        <v>160</v>
      </c>
      <c r="E73" s="167">
        <v>165</v>
      </c>
    </row>
    <row r="74" spans="2:5" ht="12.75" hidden="1" outlineLevel="1">
      <c r="B74" s="192" t="s">
        <v>550</v>
      </c>
      <c r="C74" s="167">
        <v>50</v>
      </c>
      <c r="D74" s="168">
        <v>250</v>
      </c>
      <c r="E74" s="167">
        <v>300</v>
      </c>
    </row>
    <row r="75" spans="2:5" ht="12.75" hidden="1" outlineLevel="1">
      <c r="B75" s="192" t="s">
        <v>351</v>
      </c>
      <c r="C75" s="167">
        <v>200</v>
      </c>
      <c r="D75" s="168">
        <v>400</v>
      </c>
      <c r="E75" s="167">
        <v>600</v>
      </c>
    </row>
    <row r="76" spans="2:13" ht="12.75" hidden="1" outlineLevel="1">
      <c r="B76" s="192" t="s">
        <v>439</v>
      </c>
      <c r="C76" s="167">
        <v>19</v>
      </c>
      <c r="D76" s="168">
        <v>131</v>
      </c>
      <c r="E76" s="167">
        <v>150</v>
      </c>
      <c r="G76" s="96"/>
      <c r="H76" s="96"/>
      <c r="I76" s="96"/>
      <c r="J76" s="96"/>
      <c r="K76" s="96"/>
      <c r="L76" s="96"/>
      <c r="M76" s="96"/>
    </row>
    <row r="77" spans="2:13" ht="12.75" hidden="1" outlineLevel="1">
      <c r="B77" s="192" t="s">
        <v>353</v>
      </c>
      <c r="C77" s="167">
        <v>0</v>
      </c>
      <c r="D77" s="168">
        <v>20</v>
      </c>
      <c r="E77" s="167">
        <v>20</v>
      </c>
      <c r="G77" s="96"/>
      <c r="H77" s="96"/>
      <c r="I77" s="96"/>
      <c r="J77" s="97"/>
      <c r="K77" s="97"/>
      <c r="L77" s="96"/>
      <c r="M77" s="96"/>
    </row>
    <row r="78" spans="2:13" ht="12.75" hidden="1" outlineLevel="1">
      <c r="B78" s="192" t="s">
        <v>551</v>
      </c>
      <c r="C78" s="167">
        <v>0</v>
      </c>
      <c r="D78" s="168">
        <v>220</v>
      </c>
      <c r="E78" s="167">
        <v>220</v>
      </c>
      <c r="G78" s="96"/>
      <c r="H78" s="96"/>
      <c r="I78" s="98"/>
      <c r="J78" s="99"/>
      <c r="K78" s="99"/>
      <c r="L78" s="96"/>
      <c r="M78" s="96"/>
    </row>
    <row r="79" spans="2:13" ht="12.75" hidden="1" outlineLevel="1">
      <c r="B79" s="192" t="s">
        <v>552</v>
      </c>
      <c r="C79" s="167">
        <v>0</v>
      </c>
      <c r="D79" s="168">
        <v>88</v>
      </c>
      <c r="E79" s="167">
        <v>88</v>
      </c>
      <c r="G79" s="96"/>
      <c r="H79" s="96"/>
      <c r="I79" s="98"/>
      <c r="J79" s="99"/>
      <c r="K79" s="99"/>
      <c r="L79" s="96"/>
      <c r="M79" s="96"/>
    </row>
    <row r="80" spans="2:13" ht="12.75" hidden="1" outlineLevel="1">
      <c r="B80" s="192" t="s">
        <v>281</v>
      </c>
      <c r="C80" s="167">
        <v>0</v>
      </c>
      <c r="D80" s="168">
        <v>51</v>
      </c>
      <c r="E80" s="167">
        <v>51</v>
      </c>
      <c r="G80" s="96"/>
      <c r="H80" s="96"/>
      <c r="I80" s="98"/>
      <c r="J80" s="99"/>
      <c r="K80" s="99"/>
      <c r="L80" s="96"/>
      <c r="M80" s="96"/>
    </row>
    <row r="81" spans="2:13" ht="12.75" hidden="1" outlineLevel="1">
      <c r="B81" s="192" t="s">
        <v>408</v>
      </c>
      <c r="C81" s="167">
        <v>2</v>
      </c>
      <c r="D81" s="168">
        <v>38</v>
      </c>
      <c r="E81" s="167">
        <v>40</v>
      </c>
      <c r="G81" s="96"/>
      <c r="H81" s="96"/>
      <c r="I81" s="98"/>
      <c r="J81" s="99"/>
      <c r="K81" s="99"/>
      <c r="L81" s="96"/>
      <c r="M81" s="96"/>
    </row>
    <row r="82" spans="2:5" ht="12.75" hidden="1" outlineLevel="1">
      <c r="B82" s="192" t="s">
        <v>283</v>
      </c>
      <c r="C82" s="167">
        <v>3</v>
      </c>
      <c r="D82" s="168">
        <v>167</v>
      </c>
      <c r="E82" s="167">
        <v>170</v>
      </c>
    </row>
    <row r="83" spans="2:5" ht="12.75" hidden="1" outlineLevel="1">
      <c r="B83" s="192" t="s">
        <v>277</v>
      </c>
      <c r="C83" s="167">
        <v>2</v>
      </c>
      <c r="D83" s="168">
        <v>228</v>
      </c>
      <c r="E83" s="167">
        <v>230</v>
      </c>
    </row>
    <row r="84" spans="2:5" ht="12.75" hidden="1" outlineLevel="1">
      <c r="B84" s="192" t="s">
        <v>278</v>
      </c>
      <c r="C84" s="167">
        <v>75</v>
      </c>
      <c r="D84" s="168">
        <v>100</v>
      </c>
      <c r="E84" s="167">
        <v>175</v>
      </c>
    </row>
    <row r="85" spans="2:5" ht="12.75" hidden="1" outlineLevel="1">
      <c r="B85" s="192" t="s">
        <v>279</v>
      </c>
      <c r="C85" s="167">
        <v>1</v>
      </c>
      <c r="D85" s="168">
        <v>104</v>
      </c>
      <c r="E85" s="167">
        <v>105</v>
      </c>
    </row>
    <row r="86" spans="2:5" ht="12.75" hidden="1" outlineLevel="1">
      <c r="B86" s="192" t="s">
        <v>282</v>
      </c>
      <c r="C86" s="167">
        <v>1</v>
      </c>
      <c r="D86" s="168">
        <v>69</v>
      </c>
      <c r="E86" s="167">
        <v>70</v>
      </c>
    </row>
    <row r="87" spans="2:5" ht="12.75" hidden="1" outlineLevel="1">
      <c r="B87" s="192" t="s">
        <v>286</v>
      </c>
      <c r="C87" s="167">
        <v>100</v>
      </c>
      <c r="D87" s="168">
        <v>380</v>
      </c>
      <c r="E87" s="167">
        <v>480</v>
      </c>
    </row>
    <row r="88" spans="2:5" ht="12.75" hidden="1" outlineLevel="1">
      <c r="B88" s="192" t="s">
        <v>287</v>
      </c>
      <c r="C88" s="167">
        <v>15</v>
      </c>
      <c r="D88" s="168">
        <v>55</v>
      </c>
      <c r="E88" s="167">
        <v>70</v>
      </c>
    </row>
    <row r="89" spans="2:5" ht="12.75" hidden="1" outlineLevel="1">
      <c r="B89" s="193" t="s">
        <v>288</v>
      </c>
      <c r="C89" s="167">
        <v>6</v>
      </c>
      <c r="D89" s="168">
        <v>114</v>
      </c>
      <c r="E89" s="167">
        <v>120</v>
      </c>
    </row>
    <row r="90" spans="2:5" s="107" customFormat="1" ht="12.75" hidden="1" outlineLevel="1">
      <c r="B90" s="196" t="s">
        <v>210</v>
      </c>
      <c r="C90" s="194">
        <v>895</v>
      </c>
      <c r="D90" s="195">
        <v>3845</v>
      </c>
      <c r="E90" s="194">
        <v>4740</v>
      </c>
    </row>
    <row r="91" ht="12.75" hidden="1" outlineLevel="1">
      <c r="H91" s="169"/>
    </row>
    <row r="92" spans="2:7" ht="12.75" collapsed="1">
      <c r="B92" s="145"/>
      <c r="C92" s="170"/>
      <c r="D92" s="170"/>
      <c r="E92" s="170"/>
      <c r="G92" s="170"/>
    </row>
    <row r="93" spans="2:7" ht="12.75">
      <c r="B93" s="145"/>
      <c r="C93" s="170"/>
      <c r="D93" s="170"/>
      <c r="E93" s="170"/>
      <c r="G93" s="170"/>
    </row>
    <row r="94" spans="2:4" s="107" customFormat="1" ht="12.75">
      <c r="B94" s="182" t="s">
        <v>196</v>
      </c>
      <c r="D94" s="183"/>
    </row>
    <row r="95" ht="12.75">
      <c r="B95" s="90" t="str">
        <f>CONCATENATE("Average = ",INT(AVERAGE($D$60:$D$89)))</f>
        <v>Average = 128</v>
      </c>
    </row>
    <row r="96" ht="12.75">
      <c r="B96" s="90" t="str">
        <f>CONCATENATE("Low = ",MIN($D$60:$D$89))</f>
        <v>Low = 20</v>
      </c>
    </row>
    <row r="97" ht="12.75">
      <c r="B97" s="90" t="str">
        <f>CONCATENATE("High = ",MAX($D$60:$D$89))</f>
        <v>High = 400</v>
      </c>
    </row>
    <row r="98" ht="12.75">
      <c r="B98" s="90" t="str">
        <f>CONCATENATE("Total = ",GETPIVOTDATA("Data",$B$58,"Type","Organizations"))</f>
        <v>Total = 3845</v>
      </c>
    </row>
    <row r="99" ht="12.75"/>
    <row r="100" s="107" customFormat="1" ht="12.75">
      <c r="C100" s="139" t="s">
        <v>1323</v>
      </c>
    </row>
    <row r="101" ht="12.75">
      <c r="C101" s="90" t="s">
        <v>1685</v>
      </c>
    </row>
    <row r="102" ht="12.75">
      <c r="C102" s="90" t="s">
        <v>1686</v>
      </c>
    </row>
    <row r="103" ht="12.75" hidden="1" outlineLevel="1"/>
    <row r="104" spans="3:12" ht="12.75" hidden="1" outlineLevel="1">
      <c r="C104" s="106">
        <v>2011</v>
      </c>
      <c r="D104" s="106">
        <v>2014</v>
      </c>
      <c r="E104" s="278" t="s">
        <v>1322</v>
      </c>
      <c r="F104" s="278"/>
      <c r="G104" s="96"/>
      <c r="H104" s="96"/>
      <c r="I104" s="96" t="s">
        <v>1508</v>
      </c>
      <c r="J104" s="96" t="s">
        <v>1511</v>
      </c>
      <c r="K104" s="96">
        <v>20.11</v>
      </c>
      <c r="L104" s="96">
        <v>20.14</v>
      </c>
    </row>
    <row r="105" spans="3:12" ht="12.75" hidden="1" outlineLevel="1">
      <c r="C105" s="147" t="str">
        <f>CONCATENATE("Average"," = ",I105)</f>
        <v>Average = 119</v>
      </c>
      <c r="D105" s="147" t="str">
        <f>B95</f>
        <v>Average = 128</v>
      </c>
      <c r="E105" s="189">
        <f>(J105-I105)/I105</f>
        <v>0.025210084033613446</v>
      </c>
      <c r="F105" s="147"/>
      <c r="G105" s="96"/>
      <c r="H105" s="96" t="s">
        <v>1510</v>
      </c>
      <c r="I105" s="96">
        <v>119</v>
      </c>
      <c r="J105" s="97">
        <v>122</v>
      </c>
      <c r="K105" s="97">
        <f>(I105/(I105+I106))</f>
        <v>0.035543608124253286</v>
      </c>
      <c r="L105" s="96">
        <f>(J105/(J105+J106))</f>
        <v>0.03191211090766414</v>
      </c>
    </row>
    <row r="106" spans="3:12" ht="12.75" hidden="1" outlineLevel="1">
      <c r="C106" s="147" t="str">
        <f>CONCATENATE("Total"," = ",I106)</f>
        <v>Total = 3229</v>
      </c>
      <c r="D106" s="147" t="str">
        <f>B98</f>
        <v>Total = 3845</v>
      </c>
      <c r="E106" s="189">
        <f>(J106-I106)/I106</f>
        <v>0.14617528646639827</v>
      </c>
      <c r="F106" s="147"/>
      <c r="G106" s="96"/>
      <c r="H106" s="96" t="s">
        <v>210</v>
      </c>
      <c r="I106" s="98">
        <v>3229</v>
      </c>
      <c r="J106" s="99">
        <v>3701</v>
      </c>
      <c r="K106" s="99">
        <f>(I106/(I105+I106))</f>
        <v>0.9644563918757467</v>
      </c>
      <c r="L106" s="96">
        <f>(J106/(J105+J106))</f>
        <v>0.9680878890923359</v>
      </c>
    </row>
    <row r="107" spans="5:12" ht="12.75" collapsed="1">
      <c r="E107" s="103"/>
      <c r="G107" s="96"/>
      <c r="H107" s="96"/>
      <c r="I107" s="98"/>
      <c r="J107" s="99"/>
      <c r="K107" s="99"/>
      <c r="L107" s="96"/>
    </row>
    <row r="108" s="107" customFormat="1" ht="12.75">
      <c r="B108" s="184" t="s">
        <v>197</v>
      </c>
    </row>
    <row r="109" ht="12.75">
      <c r="B109" s="90" t="str">
        <f>CONCATENATE("Average = ",INT(AVERAGE($C$60:$C$89)))</f>
        <v>Average = 29</v>
      </c>
    </row>
    <row r="110" ht="12.75">
      <c r="B110" s="90" t="str">
        <f>CONCATENATE("Low = ",MIN($C$60:$C$89))</f>
        <v>Low = 0</v>
      </c>
    </row>
    <row r="111" ht="12.75">
      <c r="B111" s="90" t="str">
        <f>CONCATENATE("High = ",MAX($C$60:$C$89))</f>
        <v>High = 233</v>
      </c>
    </row>
    <row r="112" ht="12.75">
      <c r="B112" s="90" t="str">
        <f>CONCATENATE("Total = ",GETPIVOTDATA("Data",$B$58,"Type","Individuals"))</f>
        <v>Total = 895</v>
      </c>
    </row>
    <row r="113" ht="12.75"/>
    <row r="114" s="107" customFormat="1" ht="12.75">
      <c r="C114" s="139" t="s">
        <v>1323</v>
      </c>
    </row>
    <row r="115" spans="3:13" ht="12.75">
      <c r="C115" s="90" t="s">
        <v>1687</v>
      </c>
      <c r="G115" s="96"/>
      <c r="H115" s="96"/>
      <c r="I115" s="96"/>
      <c r="J115" s="96"/>
      <c r="K115" s="96"/>
      <c r="L115" s="96"/>
      <c r="M115" s="96"/>
    </row>
    <row r="116" spans="3:13" ht="12.75">
      <c r="C116" s="90" t="s">
        <v>1688</v>
      </c>
      <c r="G116" s="96"/>
      <c r="H116" s="96"/>
      <c r="I116" s="96"/>
      <c r="J116" s="97"/>
      <c r="K116" s="97"/>
      <c r="L116" s="96"/>
      <c r="M116" s="96"/>
    </row>
    <row r="117" spans="7:13" ht="12.75" hidden="1" outlineLevel="1">
      <c r="G117" s="96"/>
      <c r="H117" s="96"/>
      <c r="I117" s="98"/>
      <c r="J117" s="99"/>
      <c r="K117" s="99"/>
      <c r="L117" s="96"/>
      <c r="M117" s="96"/>
    </row>
    <row r="118" spans="3:13" ht="12.75" hidden="1" outlineLevel="1">
      <c r="C118" s="106">
        <v>2011</v>
      </c>
      <c r="D118" s="106">
        <v>2014</v>
      </c>
      <c r="E118" s="278" t="s">
        <v>1322</v>
      </c>
      <c r="F118" s="278"/>
      <c r="G118" s="96"/>
      <c r="H118" s="96"/>
      <c r="I118" s="98" t="s">
        <v>1508</v>
      </c>
      <c r="J118" s="99" t="s">
        <v>1511</v>
      </c>
      <c r="K118" s="99">
        <v>20.11</v>
      </c>
      <c r="L118" s="96">
        <v>20.14</v>
      </c>
      <c r="M118" s="96"/>
    </row>
    <row r="119" spans="3:13" ht="12.75" hidden="1" outlineLevel="1">
      <c r="C119" s="190" t="str">
        <f>CONCATENATE("Average"," = ",I119)</f>
        <v>Average = 31</v>
      </c>
      <c r="D119" s="147" t="str">
        <f>B109</f>
        <v>Average = 29</v>
      </c>
      <c r="E119" s="189">
        <f>(J119-I119)/I119</f>
        <v>-0.06451612903225806</v>
      </c>
      <c r="F119" s="147"/>
      <c r="G119" s="96"/>
      <c r="H119" s="96" t="s">
        <v>1510</v>
      </c>
      <c r="I119" s="98">
        <v>31</v>
      </c>
      <c r="J119" s="99">
        <v>29</v>
      </c>
      <c r="K119" s="99">
        <f>(I119/(I119+I120))</f>
        <v>0.036686390532544376</v>
      </c>
      <c r="L119" s="96">
        <f>(J119/(J119+J120))</f>
        <v>0.03211517165005537</v>
      </c>
      <c r="M119" s="96"/>
    </row>
    <row r="120" spans="3:13" ht="12.75" hidden="1" outlineLevel="1">
      <c r="C120" s="190" t="str">
        <f>CONCATENATE("Total"," = ",I120)</f>
        <v>Total = 814</v>
      </c>
      <c r="D120" s="147" t="str">
        <f>B112</f>
        <v>Total = 895</v>
      </c>
      <c r="E120" s="189">
        <f>(J120-I120)/I120</f>
        <v>0.07371007371007371</v>
      </c>
      <c r="F120" s="147"/>
      <c r="G120" s="96"/>
      <c r="H120" s="96" t="s">
        <v>210</v>
      </c>
      <c r="I120" s="98">
        <v>814</v>
      </c>
      <c r="J120" s="99">
        <v>874</v>
      </c>
      <c r="K120" s="99">
        <f>(I120/(I119+I120))</f>
        <v>0.9633136094674556</v>
      </c>
      <c r="L120" s="96">
        <f>(J120/(J119+J120))</f>
        <v>0.9678848283499446</v>
      </c>
      <c r="M120" s="96"/>
    </row>
    <row r="121" spans="5:10" ht="12.75" collapsed="1">
      <c r="E121" s="103"/>
      <c r="J121" s="104"/>
    </row>
    <row r="122" spans="2:4" s="130" customFormat="1" ht="12.75">
      <c r="B122" s="185" t="s">
        <v>1578</v>
      </c>
      <c r="C122" s="181"/>
      <c r="D122" s="181"/>
    </row>
    <row r="123" spans="2:5" ht="12.75" hidden="1" outlineLevel="1">
      <c r="B123" s="268" t="s">
        <v>209</v>
      </c>
      <c r="C123" s="268" t="s">
        <v>416</v>
      </c>
      <c r="D123" s="163"/>
      <c r="E123" s="164"/>
    </row>
    <row r="124" spans="2:5" ht="12.75" hidden="1" outlineLevel="1">
      <c r="B124" s="269" t="s">
        <v>189</v>
      </c>
      <c r="C124" s="197" t="s">
        <v>198</v>
      </c>
      <c r="D124" s="208" t="s">
        <v>413</v>
      </c>
      <c r="E124" s="209" t="s">
        <v>210</v>
      </c>
    </row>
    <row r="125" spans="2:5" ht="12.75" hidden="1" outlineLevel="1">
      <c r="B125" s="191" t="s">
        <v>341</v>
      </c>
      <c r="C125" s="165">
        <v>0</v>
      </c>
      <c r="D125" s="171">
        <v>50</v>
      </c>
      <c r="E125" s="172">
        <v>50</v>
      </c>
    </row>
    <row r="126" spans="2:5" ht="12.75" hidden="1" outlineLevel="1">
      <c r="B126" s="192" t="s">
        <v>350</v>
      </c>
      <c r="C126" s="167">
        <v>1</v>
      </c>
      <c r="D126" s="173">
        <v>26</v>
      </c>
      <c r="E126" s="174">
        <v>27</v>
      </c>
    </row>
    <row r="127" spans="2:5" ht="12.75" hidden="1" outlineLevel="1">
      <c r="B127" s="192" t="s">
        <v>554</v>
      </c>
      <c r="C127" s="167">
        <v>25</v>
      </c>
      <c r="D127" s="173">
        <v>150</v>
      </c>
      <c r="E127" s="174">
        <v>175</v>
      </c>
    </row>
    <row r="128" spans="2:5" ht="12.75" hidden="1" outlineLevel="1">
      <c r="B128" s="192" t="s">
        <v>553</v>
      </c>
      <c r="C128" s="167">
        <v>4</v>
      </c>
      <c r="D128" s="173">
        <v>61</v>
      </c>
      <c r="E128" s="174">
        <v>65</v>
      </c>
    </row>
    <row r="129" spans="2:5" ht="12.75" hidden="1" outlineLevel="1">
      <c r="B129" s="192" t="s">
        <v>352</v>
      </c>
      <c r="C129" s="167">
        <v>3</v>
      </c>
      <c r="D129" s="173">
        <v>67</v>
      </c>
      <c r="E129" s="174">
        <v>70</v>
      </c>
    </row>
    <row r="130" spans="2:5" ht="12.75" hidden="1" outlineLevel="1">
      <c r="B130" s="192" t="s">
        <v>342</v>
      </c>
      <c r="C130" s="167">
        <v>12</v>
      </c>
      <c r="D130" s="173">
        <v>238</v>
      </c>
      <c r="E130" s="174">
        <v>250</v>
      </c>
    </row>
    <row r="131" spans="2:5" ht="12.75" hidden="1" outlineLevel="1">
      <c r="B131" s="192" t="s">
        <v>445</v>
      </c>
      <c r="C131" s="167">
        <v>100</v>
      </c>
      <c r="D131" s="173">
        <v>120</v>
      </c>
      <c r="E131" s="174">
        <v>220</v>
      </c>
    </row>
    <row r="132" spans="2:5" ht="12.75" hidden="1" outlineLevel="1">
      <c r="B132" s="192" t="s">
        <v>349</v>
      </c>
      <c r="C132" s="167">
        <v>55</v>
      </c>
      <c r="D132" s="173">
        <v>75</v>
      </c>
      <c r="E132" s="174">
        <v>130</v>
      </c>
    </row>
    <row r="133" spans="2:5" ht="12.75" hidden="1" outlineLevel="1">
      <c r="B133" s="192" t="s">
        <v>444</v>
      </c>
      <c r="C133" s="167">
        <v>0</v>
      </c>
      <c r="D133" s="173">
        <v>40</v>
      </c>
      <c r="E133" s="174">
        <v>40</v>
      </c>
    </row>
    <row r="134" spans="2:5" ht="12.75" hidden="1" outlineLevel="1">
      <c r="B134" s="192" t="s">
        <v>343</v>
      </c>
      <c r="C134" s="167">
        <v>17</v>
      </c>
      <c r="D134" s="173">
        <v>158</v>
      </c>
      <c r="E134" s="174">
        <v>175</v>
      </c>
    </row>
    <row r="135" spans="2:5" ht="12.75" hidden="1" outlineLevel="1">
      <c r="B135" s="192" t="s">
        <v>436</v>
      </c>
      <c r="C135" s="167">
        <v>87</v>
      </c>
      <c r="D135" s="173">
        <v>263</v>
      </c>
      <c r="E135" s="174">
        <v>350</v>
      </c>
    </row>
    <row r="136" spans="2:5" ht="12.75" hidden="1" outlineLevel="1">
      <c r="B136" s="192" t="s">
        <v>437</v>
      </c>
      <c r="C136" s="167">
        <v>15</v>
      </c>
      <c r="D136" s="173">
        <v>50</v>
      </c>
      <c r="E136" s="174">
        <v>65</v>
      </c>
    </row>
    <row r="137" spans="2:5" ht="12.75" hidden="1" outlineLevel="1">
      <c r="B137" s="192" t="s">
        <v>438</v>
      </c>
      <c r="C137" s="167">
        <v>0</v>
      </c>
      <c r="D137" s="173">
        <v>30</v>
      </c>
      <c r="E137" s="174">
        <v>30</v>
      </c>
    </row>
    <row r="138" spans="2:5" ht="12.75" hidden="1" outlineLevel="1">
      <c r="B138" s="192" t="s">
        <v>446</v>
      </c>
      <c r="C138" s="167">
        <v>1</v>
      </c>
      <c r="D138" s="173">
        <v>164</v>
      </c>
      <c r="E138" s="174">
        <v>165</v>
      </c>
    </row>
    <row r="139" spans="2:5" ht="12.75" hidden="1" outlineLevel="1">
      <c r="B139" s="192" t="s">
        <v>550</v>
      </c>
      <c r="C139" s="167">
        <v>150</v>
      </c>
      <c r="D139" s="173">
        <v>150</v>
      </c>
      <c r="E139" s="174">
        <v>300</v>
      </c>
    </row>
    <row r="140" spans="2:5" ht="12.75" hidden="1" outlineLevel="1">
      <c r="B140" s="192" t="s">
        <v>351</v>
      </c>
      <c r="C140" s="167">
        <v>120</v>
      </c>
      <c r="D140" s="173">
        <v>480</v>
      </c>
      <c r="E140" s="174">
        <v>600</v>
      </c>
    </row>
    <row r="141" spans="2:5" ht="12.75" hidden="1" outlineLevel="1">
      <c r="B141" s="192" t="s">
        <v>439</v>
      </c>
      <c r="C141" s="167">
        <v>48</v>
      </c>
      <c r="D141" s="173">
        <v>102</v>
      </c>
      <c r="E141" s="174">
        <v>150</v>
      </c>
    </row>
    <row r="142" spans="2:5" ht="12.75" hidden="1" outlineLevel="1">
      <c r="B142" s="192" t="s">
        <v>353</v>
      </c>
      <c r="C142" s="167">
        <v>0</v>
      </c>
      <c r="D142" s="173">
        <v>20</v>
      </c>
      <c r="E142" s="174">
        <v>20</v>
      </c>
    </row>
    <row r="143" spans="2:13" ht="12.75" hidden="1" outlineLevel="1">
      <c r="B143" s="192" t="s">
        <v>551</v>
      </c>
      <c r="C143" s="167">
        <v>75</v>
      </c>
      <c r="D143" s="173">
        <v>145</v>
      </c>
      <c r="E143" s="174">
        <v>220</v>
      </c>
      <c r="G143" s="96"/>
      <c r="H143" s="96"/>
      <c r="I143" s="96"/>
      <c r="J143" s="96"/>
      <c r="K143" s="96"/>
      <c r="L143" s="96"/>
      <c r="M143" s="96"/>
    </row>
    <row r="144" spans="2:13" ht="12.75" hidden="1" outlineLevel="1">
      <c r="B144" s="192" t="s">
        <v>552</v>
      </c>
      <c r="C144" s="167">
        <v>0</v>
      </c>
      <c r="D144" s="173">
        <v>88</v>
      </c>
      <c r="E144" s="174">
        <v>88</v>
      </c>
      <c r="G144" s="96"/>
      <c r="H144" s="96"/>
      <c r="I144" s="96"/>
      <c r="J144" s="97"/>
      <c r="K144" s="97"/>
      <c r="L144" s="96"/>
      <c r="M144" s="96"/>
    </row>
    <row r="145" spans="2:13" ht="12.75" hidden="1" outlineLevel="1">
      <c r="B145" s="192" t="s">
        <v>281</v>
      </c>
      <c r="C145" s="167">
        <v>0</v>
      </c>
      <c r="D145" s="173">
        <v>51</v>
      </c>
      <c r="E145" s="174">
        <v>51</v>
      </c>
      <c r="G145" s="96"/>
      <c r="H145" s="96"/>
      <c r="I145" s="98"/>
      <c r="J145" s="99"/>
      <c r="K145" s="99"/>
      <c r="L145" s="96"/>
      <c r="M145" s="96"/>
    </row>
    <row r="146" spans="2:13" ht="12.75" hidden="1" outlineLevel="1">
      <c r="B146" s="192" t="s">
        <v>408</v>
      </c>
      <c r="C146" s="167">
        <v>0</v>
      </c>
      <c r="D146" s="173">
        <v>40</v>
      </c>
      <c r="E146" s="174">
        <v>40</v>
      </c>
      <c r="G146" s="96"/>
      <c r="H146" s="96"/>
      <c r="I146" s="98"/>
      <c r="J146" s="99"/>
      <c r="K146" s="99"/>
      <c r="L146" s="96"/>
      <c r="M146" s="96"/>
    </row>
    <row r="147" spans="2:13" ht="12.75" hidden="1" outlineLevel="1">
      <c r="B147" s="192" t="s">
        <v>283</v>
      </c>
      <c r="C147" s="167">
        <v>7</v>
      </c>
      <c r="D147" s="173">
        <v>153</v>
      </c>
      <c r="E147" s="174">
        <v>160</v>
      </c>
      <c r="G147" s="96"/>
      <c r="H147" s="96"/>
      <c r="I147" s="98"/>
      <c r="J147" s="99"/>
      <c r="K147" s="99"/>
      <c r="L147" s="96"/>
      <c r="M147" s="96"/>
    </row>
    <row r="148" spans="2:13" ht="12.75" hidden="1" outlineLevel="1">
      <c r="B148" s="192" t="s">
        <v>277</v>
      </c>
      <c r="C148" s="167">
        <v>30</v>
      </c>
      <c r="D148" s="173">
        <v>200</v>
      </c>
      <c r="E148" s="174">
        <v>230</v>
      </c>
      <c r="G148" s="96"/>
      <c r="H148" s="96"/>
      <c r="I148" s="98"/>
      <c r="J148" s="99"/>
      <c r="K148" s="99"/>
      <c r="L148" s="96"/>
      <c r="M148" s="96"/>
    </row>
    <row r="149" spans="2:5" ht="12.75" hidden="1" outlineLevel="1">
      <c r="B149" s="192" t="s">
        <v>278</v>
      </c>
      <c r="C149" s="167">
        <v>50</v>
      </c>
      <c r="D149" s="173">
        <v>125</v>
      </c>
      <c r="E149" s="174">
        <v>175</v>
      </c>
    </row>
    <row r="150" spans="2:5" ht="12.75" hidden="1" outlineLevel="1">
      <c r="B150" s="192" t="s">
        <v>279</v>
      </c>
      <c r="C150" s="167">
        <v>38</v>
      </c>
      <c r="D150" s="173">
        <v>67</v>
      </c>
      <c r="E150" s="174">
        <v>105</v>
      </c>
    </row>
    <row r="151" spans="2:5" ht="12.75" hidden="1" outlineLevel="1">
      <c r="B151" s="192" t="s">
        <v>282</v>
      </c>
      <c r="C151" s="167">
        <v>21</v>
      </c>
      <c r="D151" s="173">
        <v>49</v>
      </c>
      <c r="E151" s="174">
        <v>70</v>
      </c>
    </row>
    <row r="152" spans="2:5" ht="12.75" hidden="1" outlineLevel="1">
      <c r="B152" s="192" t="s">
        <v>286</v>
      </c>
      <c r="C152" s="167">
        <v>240</v>
      </c>
      <c r="D152" s="173">
        <v>240</v>
      </c>
      <c r="E152" s="174">
        <v>480</v>
      </c>
    </row>
    <row r="153" spans="2:5" ht="12.75" hidden="1" outlineLevel="1">
      <c r="B153" s="192" t="s">
        <v>287</v>
      </c>
      <c r="C153" s="167">
        <v>20</v>
      </c>
      <c r="D153" s="173">
        <v>35</v>
      </c>
      <c r="E153" s="174">
        <v>55</v>
      </c>
    </row>
    <row r="154" spans="2:5" ht="12.75" hidden="1" outlineLevel="1">
      <c r="B154" s="193" t="s">
        <v>288</v>
      </c>
      <c r="C154" s="167">
        <v>12</v>
      </c>
      <c r="D154" s="173">
        <v>108</v>
      </c>
      <c r="E154" s="174">
        <v>120</v>
      </c>
    </row>
    <row r="155" spans="2:5" ht="12.75" hidden="1" outlineLevel="1">
      <c r="B155" s="196" t="s">
        <v>210</v>
      </c>
      <c r="C155" s="194">
        <v>1131</v>
      </c>
      <c r="D155" s="210">
        <v>3545</v>
      </c>
      <c r="E155" s="211">
        <v>4676</v>
      </c>
    </row>
    <row r="156" ht="12.75" hidden="1" outlineLevel="1"/>
    <row r="157" ht="12.75" collapsed="1"/>
    <row r="158" spans="2:5" s="107" customFormat="1" ht="12.75">
      <c r="B158" s="182" t="s">
        <v>202</v>
      </c>
      <c r="C158" s="184" t="s">
        <v>203</v>
      </c>
      <c r="D158" s="184"/>
      <c r="E158" s="183"/>
    </row>
    <row r="159" spans="2:3" ht="12.75">
      <c r="B159" s="90" t="str">
        <f>CONCATENATE("Average = ",INT(AVERAGE(D125:D154)))</f>
        <v>Average = 118</v>
      </c>
      <c r="C159" s="90" t="str">
        <f>CONCATENATE("Average = ",INT(AVERAGE(C125:C154)))</f>
        <v>Average = 37</v>
      </c>
    </row>
    <row r="160" spans="2:3" ht="12.75">
      <c r="B160" s="90" t="str">
        <f>CONCATENATE("Low = ",INT(MIN(D125:D154)))</f>
        <v>Low = 20</v>
      </c>
      <c r="C160" s="90" t="str">
        <f>CONCATENATE("Low = ",INT(MIN(C125:C154)))</f>
        <v>Low = 0</v>
      </c>
    </row>
    <row r="161" spans="2:3" ht="12.75">
      <c r="B161" s="90" t="str">
        <f>CONCATENATE("High = ",INT(MAX(D125:D154)))</f>
        <v>High = 480</v>
      </c>
      <c r="C161" s="90" t="str">
        <f>CONCATENATE("High = ",INT(MAX(C125:C154)))</f>
        <v>High = 240</v>
      </c>
    </row>
    <row r="162" spans="2:3" ht="12.75">
      <c r="B162" s="90" t="str">
        <f>CONCATENATE("Total = ",GETPIVOTDATA("Data",$B$123,"Type","Nonprofit"))</f>
        <v>Total = 3545</v>
      </c>
      <c r="C162" s="90" t="str">
        <f>CONCATENATE("Total = ",GETPIVOTDATA("Data",$B$123,"Type","For Profit"))</f>
        <v>Total = 1131</v>
      </c>
    </row>
    <row r="163" ht="12.75"/>
    <row r="164" s="107" customFormat="1" ht="12.75">
      <c r="C164" s="139" t="s">
        <v>1323</v>
      </c>
    </row>
    <row r="165" ht="12.75">
      <c r="C165" s="90" t="s">
        <v>1512</v>
      </c>
    </row>
    <row r="166" ht="12.75"/>
    <row r="167" spans="1:2" s="119" customFormat="1" ht="15">
      <c r="A167" s="117">
        <v>2</v>
      </c>
      <c r="B167" s="119" t="s">
        <v>195</v>
      </c>
    </row>
    <row r="168" ht="12.75"/>
    <row r="169" s="130" customFormat="1" ht="12.75">
      <c r="B169" s="130" t="s">
        <v>1724</v>
      </c>
    </row>
    <row r="170" spans="2:6" ht="12.75" hidden="1" outlineLevel="1">
      <c r="B170" s="268" t="s">
        <v>209</v>
      </c>
      <c r="C170" s="268" t="s">
        <v>416</v>
      </c>
      <c r="D170" s="163"/>
      <c r="E170" s="164"/>
      <c r="F170" s="145"/>
    </row>
    <row r="171" spans="2:13" ht="12.75" hidden="1" outlineLevel="1">
      <c r="B171" s="271" t="s">
        <v>189</v>
      </c>
      <c r="C171" s="212" t="s">
        <v>1631</v>
      </c>
      <c r="D171" s="208" t="s">
        <v>1632</v>
      </c>
      <c r="E171" s="209" t="s">
        <v>210</v>
      </c>
      <c r="F171" s="175"/>
      <c r="G171" s="96"/>
      <c r="H171" s="96"/>
      <c r="I171" s="96"/>
      <c r="J171" s="96"/>
      <c r="K171" s="96"/>
      <c r="L171" s="96"/>
      <c r="M171" s="96"/>
    </row>
    <row r="172" spans="2:13" ht="12.75" hidden="1" outlineLevel="1">
      <c r="B172" s="213" t="s">
        <v>341</v>
      </c>
      <c r="C172" s="176">
        <v>50</v>
      </c>
      <c r="D172" s="171">
        <v>0</v>
      </c>
      <c r="E172" s="172">
        <v>50</v>
      </c>
      <c r="F172" s="177"/>
      <c r="G172" s="96"/>
      <c r="H172" s="96"/>
      <c r="I172" s="96"/>
      <c r="J172" s="97"/>
      <c r="K172" s="97"/>
      <c r="L172" s="96"/>
      <c r="M172" s="96"/>
    </row>
    <row r="173" spans="2:13" ht="12.75" hidden="1" outlineLevel="1">
      <c r="B173" s="214" t="s">
        <v>350</v>
      </c>
      <c r="C173" s="174">
        <v>23</v>
      </c>
      <c r="D173" s="173">
        <v>27</v>
      </c>
      <c r="E173" s="174">
        <v>50</v>
      </c>
      <c r="F173" s="177"/>
      <c r="G173" s="96"/>
      <c r="H173" s="96"/>
      <c r="I173" s="98"/>
      <c r="J173" s="99"/>
      <c r="K173" s="99"/>
      <c r="L173" s="96"/>
      <c r="M173" s="96"/>
    </row>
    <row r="174" spans="2:13" ht="12.75" hidden="1" outlineLevel="1">
      <c r="B174" s="214" t="s">
        <v>554</v>
      </c>
      <c r="C174" s="174">
        <v>150</v>
      </c>
      <c r="D174" s="173">
        <v>0</v>
      </c>
      <c r="E174" s="174">
        <v>150</v>
      </c>
      <c r="F174" s="177"/>
      <c r="G174" s="96"/>
      <c r="H174" s="96"/>
      <c r="I174" s="98"/>
      <c r="J174" s="99"/>
      <c r="K174" s="99"/>
      <c r="L174" s="96"/>
      <c r="M174" s="96"/>
    </row>
    <row r="175" spans="2:13" ht="12.75" hidden="1" outlineLevel="1">
      <c r="B175" s="214" t="s">
        <v>553</v>
      </c>
      <c r="C175" s="174">
        <v>5</v>
      </c>
      <c r="D175" s="173">
        <v>1</v>
      </c>
      <c r="E175" s="174">
        <v>6</v>
      </c>
      <c r="F175" s="177"/>
      <c r="G175" s="96"/>
      <c r="H175" s="96"/>
      <c r="I175" s="98"/>
      <c r="J175" s="99"/>
      <c r="K175" s="99"/>
      <c r="L175" s="96"/>
      <c r="M175" s="96"/>
    </row>
    <row r="176" spans="2:13" ht="12.75" hidden="1" outlineLevel="1">
      <c r="B176" s="214" t="s">
        <v>352</v>
      </c>
      <c r="C176" s="174">
        <v>22</v>
      </c>
      <c r="D176" s="173">
        <v>45</v>
      </c>
      <c r="E176" s="174">
        <v>67</v>
      </c>
      <c r="F176" s="177"/>
      <c r="G176" s="96"/>
      <c r="H176" s="96"/>
      <c r="I176" s="98"/>
      <c r="J176" s="99"/>
      <c r="K176" s="99"/>
      <c r="L176" s="96"/>
      <c r="M176" s="96"/>
    </row>
    <row r="177" spans="2:6" ht="12.75" hidden="1" outlineLevel="1">
      <c r="B177" s="214" t="s">
        <v>342</v>
      </c>
      <c r="C177" s="174">
        <v>190</v>
      </c>
      <c r="D177" s="173">
        <v>48</v>
      </c>
      <c r="E177" s="174">
        <v>238</v>
      </c>
      <c r="F177" s="177"/>
    </row>
    <row r="178" spans="2:6" ht="12.75" hidden="1" outlineLevel="1">
      <c r="B178" s="214" t="s">
        <v>445</v>
      </c>
      <c r="C178" s="174">
        <v>60</v>
      </c>
      <c r="D178" s="173">
        <v>60</v>
      </c>
      <c r="E178" s="174">
        <v>120</v>
      </c>
      <c r="F178" s="177"/>
    </row>
    <row r="179" spans="2:6" ht="12.75" hidden="1" outlineLevel="1">
      <c r="B179" s="214" t="s">
        <v>349</v>
      </c>
      <c r="C179" s="174">
        <v>10</v>
      </c>
      <c r="D179" s="173">
        <v>129</v>
      </c>
      <c r="E179" s="174">
        <v>139</v>
      </c>
      <c r="F179" s="177"/>
    </row>
    <row r="180" spans="2:6" ht="12.75" hidden="1" outlineLevel="1">
      <c r="B180" s="214" t="s">
        <v>444</v>
      </c>
      <c r="C180" s="174">
        <v>30</v>
      </c>
      <c r="D180" s="173">
        <v>10</v>
      </c>
      <c r="E180" s="174">
        <v>40</v>
      </c>
      <c r="F180" s="177"/>
    </row>
    <row r="181" spans="2:6" ht="12.75" hidden="1" outlineLevel="1">
      <c r="B181" s="214" t="s">
        <v>343</v>
      </c>
      <c r="C181" s="174">
        <v>63</v>
      </c>
      <c r="D181" s="173">
        <v>95</v>
      </c>
      <c r="E181" s="174">
        <v>158</v>
      </c>
      <c r="F181" s="177"/>
    </row>
    <row r="182" spans="2:6" ht="12.75" hidden="1" outlineLevel="1">
      <c r="B182" s="214" t="s">
        <v>436</v>
      </c>
      <c r="C182" s="174">
        <v>66</v>
      </c>
      <c r="D182" s="173">
        <v>197</v>
      </c>
      <c r="E182" s="174">
        <v>263</v>
      </c>
      <c r="F182" s="177"/>
    </row>
    <row r="183" spans="2:6" ht="12.75" hidden="1" outlineLevel="1">
      <c r="B183" s="214" t="s">
        <v>437</v>
      </c>
      <c r="C183" s="174">
        <v>45</v>
      </c>
      <c r="D183" s="173">
        <v>5</v>
      </c>
      <c r="E183" s="174">
        <v>50</v>
      </c>
      <c r="F183" s="177"/>
    </row>
    <row r="184" spans="2:6" ht="12.75" hidden="1" outlineLevel="1">
      <c r="B184" s="214" t="s">
        <v>438</v>
      </c>
      <c r="C184" s="174">
        <v>15</v>
      </c>
      <c r="D184" s="173">
        <v>15</v>
      </c>
      <c r="E184" s="174">
        <v>30</v>
      </c>
      <c r="F184" s="177"/>
    </row>
    <row r="185" spans="2:6" ht="12.75" hidden="1" outlineLevel="1">
      <c r="B185" s="214" t="s">
        <v>446</v>
      </c>
      <c r="C185" s="174">
        <v>157</v>
      </c>
      <c r="D185" s="173">
        <v>7</v>
      </c>
      <c r="E185" s="174">
        <v>164</v>
      </c>
      <c r="F185" s="177"/>
    </row>
    <row r="186" spans="2:6" ht="12.75" hidden="1" outlineLevel="1">
      <c r="B186" s="214" t="s">
        <v>550</v>
      </c>
      <c r="C186" s="174">
        <v>290</v>
      </c>
      <c r="D186" s="173">
        <v>10</v>
      </c>
      <c r="E186" s="174">
        <v>300</v>
      </c>
      <c r="F186" s="177"/>
    </row>
    <row r="187" spans="2:6" ht="12.75" hidden="1" outlineLevel="1">
      <c r="B187" s="214" t="s">
        <v>351</v>
      </c>
      <c r="C187" s="174">
        <v>480</v>
      </c>
      <c r="D187" s="173">
        <v>0</v>
      </c>
      <c r="E187" s="174">
        <v>480</v>
      </c>
      <c r="F187" s="177"/>
    </row>
    <row r="188" spans="2:6" ht="12.75" hidden="1" outlineLevel="1">
      <c r="B188" s="214" t="s">
        <v>439</v>
      </c>
      <c r="C188" s="174">
        <v>82</v>
      </c>
      <c r="D188" s="173">
        <v>68</v>
      </c>
      <c r="E188" s="174">
        <v>150</v>
      </c>
      <c r="F188" s="177"/>
    </row>
    <row r="189" spans="2:6" ht="12.75" hidden="1" outlineLevel="1">
      <c r="B189" s="214" t="s">
        <v>353</v>
      </c>
      <c r="C189" s="174">
        <v>20</v>
      </c>
      <c r="D189" s="173">
        <v>0</v>
      </c>
      <c r="E189" s="174">
        <v>20</v>
      </c>
      <c r="F189" s="177"/>
    </row>
    <row r="190" spans="2:6" ht="12.75" hidden="1" outlineLevel="1">
      <c r="B190" s="214" t="s">
        <v>551</v>
      </c>
      <c r="C190" s="174">
        <v>72</v>
      </c>
      <c r="D190" s="173">
        <v>73</v>
      </c>
      <c r="E190" s="174">
        <v>145</v>
      </c>
      <c r="F190" s="177"/>
    </row>
    <row r="191" spans="2:6" ht="12.75" hidden="1" outlineLevel="1">
      <c r="B191" s="214" t="s">
        <v>552</v>
      </c>
      <c r="C191" s="174">
        <v>75</v>
      </c>
      <c r="D191" s="173">
        <v>13</v>
      </c>
      <c r="E191" s="174">
        <v>88</v>
      </c>
      <c r="F191" s="177"/>
    </row>
    <row r="192" spans="2:6" ht="12.75" hidden="1" outlineLevel="1">
      <c r="B192" s="214" t="s">
        <v>281</v>
      </c>
      <c r="C192" s="174">
        <v>4</v>
      </c>
      <c r="D192" s="173">
        <v>47</v>
      </c>
      <c r="E192" s="174">
        <v>51</v>
      </c>
      <c r="F192" s="177"/>
    </row>
    <row r="193" spans="2:6" ht="12.75" hidden="1" outlineLevel="1">
      <c r="B193" s="214" t="s">
        <v>408</v>
      </c>
      <c r="C193" s="174">
        <v>36</v>
      </c>
      <c r="D193" s="173">
        <v>4</v>
      </c>
      <c r="E193" s="174">
        <v>40</v>
      </c>
      <c r="F193" s="177"/>
    </row>
    <row r="194" spans="2:6" ht="12.75" hidden="1" outlineLevel="1">
      <c r="B194" s="214" t="s">
        <v>283</v>
      </c>
      <c r="C194" s="174">
        <v>138</v>
      </c>
      <c r="D194" s="173">
        <v>15</v>
      </c>
      <c r="E194" s="174">
        <v>153</v>
      </c>
      <c r="F194" s="177"/>
    </row>
    <row r="195" spans="2:6" ht="12.75" hidden="1" outlineLevel="1">
      <c r="B195" s="214" t="s">
        <v>277</v>
      </c>
      <c r="C195" s="174">
        <v>180</v>
      </c>
      <c r="D195" s="173">
        <v>20</v>
      </c>
      <c r="E195" s="174">
        <v>200</v>
      </c>
      <c r="F195" s="177"/>
    </row>
    <row r="196" spans="2:6" ht="12.75" hidden="1" outlineLevel="1">
      <c r="B196" s="214" t="s">
        <v>278</v>
      </c>
      <c r="C196" s="174">
        <v>25</v>
      </c>
      <c r="D196" s="173">
        <v>100</v>
      </c>
      <c r="E196" s="174">
        <v>125</v>
      </c>
      <c r="F196" s="177"/>
    </row>
    <row r="197" spans="2:6" ht="12.75" hidden="1" outlineLevel="1">
      <c r="B197" s="214" t="s">
        <v>279</v>
      </c>
      <c r="C197" s="174">
        <v>8</v>
      </c>
      <c r="D197" s="173">
        <v>59</v>
      </c>
      <c r="E197" s="174">
        <v>67</v>
      </c>
      <c r="F197" s="177"/>
    </row>
    <row r="198" spans="2:6" ht="12.75" hidden="1" outlineLevel="1">
      <c r="B198" s="214" t="s">
        <v>282</v>
      </c>
      <c r="C198" s="174">
        <v>42</v>
      </c>
      <c r="D198" s="173">
        <v>7</v>
      </c>
      <c r="E198" s="174">
        <v>49</v>
      </c>
      <c r="F198" s="177"/>
    </row>
    <row r="199" spans="2:13" ht="12.75" hidden="1" outlineLevel="1">
      <c r="B199" s="214" t="s">
        <v>286</v>
      </c>
      <c r="C199" s="174">
        <v>60</v>
      </c>
      <c r="D199" s="173">
        <v>180</v>
      </c>
      <c r="E199" s="174">
        <v>240</v>
      </c>
      <c r="F199" s="177"/>
      <c r="G199" s="96"/>
      <c r="H199" s="96"/>
      <c r="I199" s="96"/>
      <c r="J199" s="96"/>
      <c r="K199" s="96"/>
      <c r="L199" s="96"/>
      <c r="M199" s="96"/>
    </row>
    <row r="200" spans="2:13" ht="12.75" hidden="1" outlineLevel="1">
      <c r="B200" s="214" t="s">
        <v>287</v>
      </c>
      <c r="C200" s="174">
        <v>35</v>
      </c>
      <c r="D200" s="173">
        <v>0</v>
      </c>
      <c r="E200" s="174">
        <v>35</v>
      </c>
      <c r="F200" s="177"/>
      <c r="G200" s="96"/>
      <c r="H200" s="96"/>
      <c r="I200" s="96"/>
      <c r="J200" s="97"/>
      <c r="K200" s="97"/>
      <c r="L200" s="96"/>
      <c r="M200" s="96"/>
    </row>
    <row r="201" spans="2:13" ht="12.75" hidden="1" outlineLevel="1">
      <c r="B201" s="214" t="s">
        <v>288</v>
      </c>
      <c r="C201" s="174">
        <v>87</v>
      </c>
      <c r="D201" s="173">
        <v>21</v>
      </c>
      <c r="E201" s="174">
        <v>108</v>
      </c>
      <c r="F201" s="177"/>
      <c r="G201" s="96"/>
      <c r="H201" s="96"/>
      <c r="I201" s="98"/>
      <c r="J201" s="99"/>
      <c r="K201" s="99"/>
      <c r="L201" s="96"/>
      <c r="M201" s="96"/>
    </row>
    <row r="202" spans="2:13" ht="12.75" hidden="1" outlineLevel="1">
      <c r="B202" s="215" t="s">
        <v>210</v>
      </c>
      <c r="C202" s="211">
        <v>2520</v>
      </c>
      <c r="D202" s="210">
        <v>1256</v>
      </c>
      <c r="E202" s="211">
        <v>3776</v>
      </c>
      <c r="F202" s="177"/>
      <c r="G202" s="96"/>
      <c r="H202" s="96"/>
      <c r="I202" s="98"/>
      <c r="J202" s="99"/>
      <c r="K202" s="99"/>
      <c r="L202" s="96"/>
      <c r="M202" s="96"/>
    </row>
    <row r="203" spans="6:13" ht="12.75" hidden="1" outlineLevel="1">
      <c r="F203" s="177"/>
      <c r="G203" s="96"/>
      <c r="H203" s="96"/>
      <c r="I203" s="98"/>
      <c r="J203" s="99"/>
      <c r="K203" s="99"/>
      <c r="L203" s="96"/>
      <c r="M203" s="96"/>
    </row>
    <row r="204" spans="7:13" ht="12.75" collapsed="1">
      <c r="G204" s="96"/>
      <c r="H204" s="96"/>
      <c r="I204" s="98"/>
      <c r="J204" s="99"/>
      <c r="K204" s="99"/>
      <c r="L204" s="96"/>
      <c r="M204" s="96"/>
    </row>
    <row r="205" spans="2:5" s="107" customFormat="1" ht="12.75">
      <c r="B205" s="182" t="s">
        <v>418</v>
      </c>
      <c r="C205" s="184" t="s">
        <v>419</v>
      </c>
      <c r="D205" s="184"/>
      <c r="E205" s="183"/>
    </row>
    <row r="206" spans="2:3" ht="12.75">
      <c r="B206" s="90" t="str">
        <f>CONCATENATE("Average = ",INT(AVERAGE(C172:C201)))</f>
        <v>Average = 84</v>
      </c>
      <c r="C206" s="90" t="str">
        <f>CONCATENATE("Average = ",INT(AVERAGE(D172:D201)))</f>
        <v>Average = 41</v>
      </c>
    </row>
    <row r="207" spans="2:3" ht="12.75">
      <c r="B207" s="90" t="str">
        <f>CONCATENATE("Low = ",INT(MIN(C172:C201)))</f>
        <v>Low = 4</v>
      </c>
      <c r="C207" s="90" t="str">
        <f>CONCATENATE("Low = ",INT(MIN(D172:D201)))</f>
        <v>Low = 0</v>
      </c>
    </row>
    <row r="208" spans="2:3" ht="12.75">
      <c r="B208" s="90" t="str">
        <f>CONCATENATE("High = ",INT(MAX(C172:C201)))</f>
        <v>High = 480</v>
      </c>
      <c r="C208" s="90" t="str">
        <f>CONCATENATE("High = ",INT(MAX(D172:D201)))</f>
        <v>High = 197</v>
      </c>
    </row>
    <row r="209" spans="2:3" ht="12.75">
      <c r="B209" s="90" t="str">
        <f>CONCATENATE("Total = ",GETPIVOTDATA("Data",$B$170,"Type","Place Based"))</f>
        <v>Total = 2520</v>
      </c>
      <c r="C209" s="90" t="str">
        <f>CONCATENATE("Total = ",GETPIVOTDATA("Data",$B$170,"Type","Constituency Based"))</f>
        <v>Total = 1256</v>
      </c>
    </row>
    <row r="210" ht="12.75"/>
    <row r="211" s="107" customFormat="1" ht="12.75">
      <c r="C211" s="139" t="s">
        <v>1323</v>
      </c>
    </row>
    <row r="212" ht="12.75">
      <c r="C212" s="90" t="s">
        <v>1512</v>
      </c>
    </row>
    <row r="213" ht="12.75"/>
    <row r="214" spans="1:2" s="119" customFormat="1" ht="15">
      <c r="A214" s="117">
        <v>3</v>
      </c>
      <c r="B214" s="119" t="s">
        <v>49</v>
      </c>
    </row>
    <row r="215" spans="2:4" s="130" customFormat="1" ht="12.75" hidden="1" outlineLevel="1">
      <c r="B215" s="130" t="s">
        <v>324</v>
      </c>
      <c r="C215" s="130" t="s">
        <v>189</v>
      </c>
      <c r="D215" s="201" t="s">
        <v>1590</v>
      </c>
    </row>
    <row r="216" spans="2:4" ht="12.75" hidden="1" outlineLevel="1">
      <c r="B216" s="91" t="s">
        <v>146</v>
      </c>
      <c r="C216" s="90" t="s">
        <v>550</v>
      </c>
      <c r="D216" s="147" t="s">
        <v>423</v>
      </c>
    </row>
    <row r="217" spans="2:4" ht="12.75" hidden="1" outlineLevel="1">
      <c r="B217" s="91" t="s">
        <v>337</v>
      </c>
      <c r="C217" s="90" t="s">
        <v>553</v>
      </c>
      <c r="D217" s="147" t="s">
        <v>424</v>
      </c>
    </row>
    <row r="218" spans="2:4" ht="12.75" hidden="1" outlineLevel="1">
      <c r="B218" s="91" t="s">
        <v>146</v>
      </c>
      <c r="C218" s="90" t="s">
        <v>349</v>
      </c>
      <c r="D218" s="147" t="s">
        <v>424</v>
      </c>
    </row>
    <row r="219" spans="2:4" ht="12.75" hidden="1" outlineLevel="1">
      <c r="B219" s="91" t="s">
        <v>140</v>
      </c>
      <c r="C219" s="90" t="s">
        <v>341</v>
      </c>
      <c r="D219" s="200" t="s">
        <v>425</v>
      </c>
    </row>
    <row r="220" spans="2:4" ht="12.75" hidden="1" outlineLevel="1">
      <c r="B220" s="91" t="s">
        <v>154</v>
      </c>
      <c r="C220" s="90" t="s">
        <v>352</v>
      </c>
      <c r="D220" s="200" t="s">
        <v>425</v>
      </c>
    </row>
    <row r="221" spans="2:4" ht="12.75" hidden="1" outlineLevel="1">
      <c r="B221" s="91" t="s">
        <v>147</v>
      </c>
      <c r="C221" s="90" t="s">
        <v>353</v>
      </c>
      <c r="D221" s="200" t="s">
        <v>425</v>
      </c>
    </row>
    <row r="222" spans="2:4" ht="12.75" hidden="1" outlineLevel="1">
      <c r="B222" s="91" t="s">
        <v>153</v>
      </c>
      <c r="C222" s="90" t="s">
        <v>444</v>
      </c>
      <c r="D222" s="147" t="s">
        <v>422</v>
      </c>
    </row>
    <row r="223" spans="2:4" ht="12.75" hidden="1" outlineLevel="1">
      <c r="B223" s="91" t="s">
        <v>332</v>
      </c>
      <c r="C223" s="90" t="s">
        <v>554</v>
      </c>
      <c r="D223" s="147" t="s">
        <v>420</v>
      </c>
    </row>
    <row r="224" spans="2:4" ht="12.75" hidden="1" outlineLevel="1">
      <c r="B224" s="91" t="s">
        <v>154</v>
      </c>
      <c r="C224" s="90" t="s">
        <v>342</v>
      </c>
      <c r="D224" s="147" t="s">
        <v>420</v>
      </c>
    </row>
    <row r="225" spans="2:4" ht="12.75" hidden="1" outlineLevel="1">
      <c r="B225" s="91" t="s">
        <v>143</v>
      </c>
      <c r="C225" s="90" t="s">
        <v>437</v>
      </c>
      <c r="D225" s="147" t="s">
        <v>420</v>
      </c>
    </row>
    <row r="226" spans="2:4" ht="12.75" hidden="1" outlineLevel="1">
      <c r="B226" s="91" t="s">
        <v>144</v>
      </c>
      <c r="C226" s="90" t="s">
        <v>438</v>
      </c>
      <c r="D226" s="147" t="s">
        <v>420</v>
      </c>
    </row>
    <row r="227" spans="2:13" ht="12.75" hidden="1" outlineLevel="1">
      <c r="B227" s="91" t="s">
        <v>153</v>
      </c>
      <c r="C227" s="90" t="s">
        <v>446</v>
      </c>
      <c r="D227" s="147" t="s">
        <v>420</v>
      </c>
      <c r="G227" s="96"/>
      <c r="H227" s="96"/>
      <c r="I227" s="96"/>
      <c r="J227" s="96"/>
      <c r="K227" s="96"/>
      <c r="L227" s="96"/>
      <c r="M227" s="96"/>
    </row>
    <row r="228" spans="2:13" ht="12.75" hidden="1" outlineLevel="1">
      <c r="B228" s="91" t="s">
        <v>155</v>
      </c>
      <c r="C228" s="90" t="s">
        <v>351</v>
      </c>
      <c r="D228" s="147" t="s">
        <v>420</v>
      </c>
      <c r="G228" s="96"/>
      <c r="H228" s="96"/>
      <c r="I228" s="96"/>
      <c r="J228" s="97"/>
      <c r="K228" s="97"/>
      <c r="L228" s="96"/>
      <c r="M228" s="96"/>
    </row>
    <row r="229" spans="2:13" ht="12.75" hidden="1" outlineLevel="1">
      <c r="B229" s="91" t="s">
        <v>139</v>
      </c>
      <c r="C229" s="90" t="s">
        <v>551</v>
      </c>
      <c r="D229" s="147" t="s">
        <v>420</v>
      </c>
      <c r="G229" s="96"/>
      <c r="H229" s="96"/>
      <c r="I229" s="98"/>
      <c r="J229" s="99"/>
      <c r="K229" s="99"/>
      <c r="L229" s="96"/>
      <c r="M229" s="96"/>
    </row>
    <row r="230" spans="2:13" ht="12.75" hidden="1" outlineLevel="1">
      <c r="B230" s="91" t="s">
        <v>336</v>
      </c>
      <c r="C230" s="90" t="s">
        <v>281</v>
      </c>
      <c r="D230" s="147" t="s">
        <v>420</v>
      </c>
      <c r="G230" s="96"/>
      <c r="H230" s="96"/>
      <c r="I230" s="98"/>
      <c r="J230" s="99"/>
      <c r="K230" s="99"/>
      <c r="L230" s="96"/>
      <c r="M230" s="96"/>
    </row>
    <row r="231" spans="2:13" ht="12.75" hidden="1" outlineLevel="1">
      <c r="B231" s="91" t="s">
        <v>152</v>
      </c>
      <c r="C231" s="90" t="s">
        <v>408</v>
      </c>
      <c r="D231" s="147" t="s">
        <v>420</v>
      </c>
      <c r="G231" s="96"/>
      <c r="H231" s="96"/>
      <c r="I231" s="98"/>
      <c r="J231" s="99"/>
      <c r="K231" s="99"/>
      <c r="L231" s="96"/>
      <c r="M231" s="96"/>
    </row>
    <row r="232" spans="2:13" ht="12.75" hidden="1" outlineLevel="1">
      <c r="B232" s="91" t="s">
        <v>151</v>
      </c>
      <c r="C232" s="90" t="s">
        <v>282</v>
      </c>
      <c r="D232" s="147" t="s">
        <v>420</v>
      </c>
      <c r="G232" s="96"/>
      <c r="H232" s="96"/>
      <c r="I232" s="98"/>
      <c r="J232" s="99"/>
      <c r="K232" s="99"/>
      <c r="L232" s="96"/>
      <c r="M232" s="96"/>
    </row>
    <row r="233" spans="2:4" ht="12.75" hidden="1" outlineLevel="1">
      <c r="B233" s="91" t="s">
        <v>332</v>
      </c>
      <c r="C233" s="90" t="s">
        <v>286</v>
      </c>
      <c r="D233" s="147" t="s">
        <v>420</v>
      </c>
    </row>
    <row r="234" spans="2:4" ht="12.75" hidden="1" outlineLevel="1">
      <c r="B234" s="91" t="s">
        <v>143</v>
      </c>
      <c r="C234" s="90" t="s">
        <v>287</v>
      </c>
      <c r="D234" s="147" t="s">
        <v>420</v>
      </c>
    </row>
    <row r="235" spans="2:4" ht="12.75" hidden="1" outlineLevel="1">
      <c r="B235" s="91" t="s">
        <v>156</v>
      </c>
      <c r="C235" s="90" t="s">
        <v>288</v>
      </c>
      <c r="D235" s="147" t="s">
        <v>420</v>
      </c>
    </row>
    <row r="236" spans="2:4" ht="12.75" hidden="1" outlineLevel="1">
      <c r="B236" s="91" t="s">
        <v>334</v>
      </c>
      <c r="C236" s="90" t="s">
        <v>350</v>
      </c>
      <c r="D236" s="147" t="s">
        <v>421</v>
      </c>
    </row>
    <row r="237" spans="2:4" ht="12.75" hidden="1" outlineLevel="1">
      <c r="B237" s="91" t="s">
        <v>141</v>
      </c>
      <c r="C237" s="90" t="s">
        <v>445</v>
      </c>
      <c r="D237" s="147" t="s">
        <v>421</v>
      </c>
    </row>
    <row r="238" spans="2:4" ht="12.75" hidden="1" outlineLevel="1">
      <c r="B238" s="91" t="s">
        <v>142</v>
      </c>
      <c r="C238" s="90" t="s">
        <v>343</v>
      </c>
      <c r="D238" s="147" t="s">
        <v>421</v>
      </c>
    </row>
    <row r="239" spans="2:4" ht="12.75" hidden="1" outlineLevel="1">
      <c r="B239" s="91" t="s">
        <v>332</v>
      </c>
      <c r="C239" s="90" t="s">
        <v>436</v>
      </c>
      <c r="D239" s="147" t="s">
        <v>421</v>
      </c>
    </row>
    <row r="240" spans="2:4" ht="12.75" hidden="1" outlineLevel="1">
      <c r="B240" s="91" t="s">
        <v>145</v>
      </c>
      <c r="C240" s="90" t="s">
        <v>439</v>
      </c>
      <c r="D240" s="147" t="s">
        <v>421</v>
      </c>
    </row>
    <row r="241" spans="2:4" ht="12.75" hidden="1" outlineLevel="1">
      <c r="B241" s="91" t="s">
        <v>148</v>
      </c>
      <c r="C241" s="90" t="s">
        <v>552</v>
      </c>
      <c r="D241" s="147" t="s">
        <v>421</v>
      </c>
    </row>
    <row r="242" spans="2:4" ht="12.75" hidden="1" outlineLevel="1">
      <c r="B242" s="91" t="s">
        <v>335</v>
      </c>
      <c r="C242" s="90" t="s">
        <v>283</v>
      </c>
      <c r="D242" s="147" t="s">
        <v>421</v>
      </c>
    </row>
    <row r="243" spans="2:4" ht="12.75" hidden="1" outlineLevel="1">
      <c r="B243" s="91" t="s">
        <v>149</v>
      </c>
      <c r="C243" s="90" t="s">
        <v>277</v>
      </c>
      <c r="D243" s="147" t="s">
        <v>421</v>
      </c>
    </row>
    <row r="244" spans="2:4" ht="12.75" hidden="1" outlineLevel="1">
      <c r="B244" s="91" t="s">
        <v>150</v>
      </c>
      <c r="C244" s="90" t="s">
        <v>278</v>
      </c>
      <c r="D244" s="147" t="s">
        <v>421</v>
      </c>
    </row>
    <row r="245" spans="2:4" ht="12.75" hidden="1" outlineLevel="1">
      <c r="B245" s="91" t="s">
        <v>155</v>
      </c>
      <c r="C245" s="90" t="s">
        <v>279</v>
      </c>
      <c r="D245" s="147" t="s">
        <v>421</v>
      </c>
    </row>
    <row r="246" ht="12.75" collapsed="1"/>
    <row r="247" s="107" customFormat="1" ht="12.75">
      <c r="B247" s="107" t="str">
        <f>CONCATENATE("2x per month = ",COUNTIF(D216:D245,"2x per month"),TEXT((COUNTIF(D216:D245,"2x per month")/ROWS(D216:D245)),"   (#%)"))</f>
        <v>2x per month = 1   (3%)</v>
      </c>
    </row>
    <row r="248" spans="2:13" s="107" customFormat="1" ht="12.75">
      <c r="B248" s="107" t="str">
        <f>CONCATENATE("1x per month = ",COUNTIF($D$216:$D$245,"1x per month"),TEXT((COUNTIF($D$216:$D$245,"1x per month")/ROWS($D$216:$D$245)),"   (#%)"))</f>
        <v>1x per month = 2   (7%)</v>
      </c>
      <c r="G248" s="133"/>
      <c r="H248" s="133"/>
      <c r="I248" s="133"/>
      <c r="J248" s="133"/>
      <c r="K248" s="133"/>
      <c r="L248" s="133"/>
      <c r="M248" s="133"/>
    </row>
    <row r="249" spans="2:13" s="107" customFormat="1" ht="12.75">
      <c r="B249" s="107" t="str">
        <f>CONCATENATE("1x per 2 months = ",COUNTIF($D$216:$D$245,"1x per 2 months"),TEXT((COUNTIF($D$216:$D$245,"1x per 2 months")/ROWS($D$216:$D$245)),"   (#%)"))</f>
        <v>1x per 2 months = 3   (10%)</v>
      </c>
      <c r="G249" s="133"/>
      <c r="H249" s="133"/>
      <c r="I249" s="133"/>
      <c r="J249" s="134"/>
      <c r="K249" s="134"/>
      <c r="L249" s="133"/>
      <c r="M249" s="133"/>
    </row>
    <row r="250" spans="2:13" s="107" customFormat="1" ht="12.75">
      <c r="B250" s="107" t="str">
        <f>CONCATENATE("1x per quarter = ",COUNTIF($D$216:$D$245,"1x per quarter"),TEXT((COUNTIF($D$216:$D$245,"1x per quarter")/ROWS($D$216:$D$245)),"   (#%)"))</f>
        <v>1x per quarter = 1   (3%)</v>
      </c>
      <c r="G250" s="133"/>
      <c r="H250" s="133"/>
      <c r="I250" s="138"/>
      <c r="J250" s="135"/>
      <c r="K250" s="135"/>
      <c r="L250" s="133"/>
      <c r="M250" s="133"/>
    </row>
    <row r="251" spans="2:11" s="107" customFormat="1" ht="12.75">
      <c r="B251" s="107" t="str">
        <f>CONCATENATE("1x per year = ",COUNTIF($D$216:$D$245,"1x per year"),TEXT((COUNTIF($D$216:$D$245,"1x per year")/ROWS($D$216:$D$245)),"   (#%)"))</f>
        <v>1x per year = 13   (43%)</v>
      </c>
      <c r="I251" s="186"/>
      <c r="J251" s="187"/>
      <c r="K251" s="187"/>
    </row>
    <row r="252" spans="2:11" s="107" customFormat="1" ht="12.75">
      <c r="B252" s="107" t="str">
        <f>CONCATENATE("2x per year = ",COUNTIF($D$216:$D$245,"2x per year"),TEXT((COUNTIF($D$216:$D$245,"2x per year")/ROWS($D$216:$D$245)),"   (#%)"))</f>
        <v>2x per year = 10   (33%)</v>
      </c>
      <c r="I252" s="186"/>
      <c r="J252" s="187"/>
      <c r="K252" s="187"/>
    </row>
    <row r="253" spans="9:11" ht="12.75">
      <c r="I253" s="104"/>
      <c r="J253" s="178"/>
      <c r="K253" s="178"/>
    </row>
    <row r="254" s="106" customFormat="1" ht="12.75">
      <c r="C254" s="216" t="s">
        <v>1323</v>
      </c>
    </row>
    <row r="255" spans="3:13" s="147" customFormat="1" ht="12.75" hidden="1" outlineLevel="1">
      <c r="C255" s="106">
        <v>2011</v>
      </c>
      <c r="D255" s="106">
        <v>2014</v>
      </c>
      <c r="E255" s="106" t="s">
        <v>1322</v>
      </c>
      <c r="F255" s="106"/>
      <c r="H255" s="106" t="s">
        <v>1508</v>
      </c>
      <c r="I255" s="106" t="s">
        <v>1511</v>
      </c>
      <c r="J255" s="106">
        <v>20.11</v>
      </c>
      <c r="K255" s="106">
        <v>20.14</v>
      </c>
      <c r="L255" s="106" t="s">
        <v>1570</v>
      </c>
      <c r="M255" s="106" t="s">
        <v>1571</v>
      </c>
    </row>
    <row r="256" spans="3:13" s="147" customFormat="1" ht="12.75" hidden="1" outlineLevel="1">
      <c r="C256" s="147" t="s">
        <v>1594</v>
      </c>
      <c r="D256" s="147" t="s">
        <v>1623</v>
      </c>
      <c r="E256" s="189">
        <f aca="true" t="shared" si="0" ref="E256:E261">K256-J256</f>
        <v>-0.003703703703703702</v>
      </c>
      <c r="G256" s="147" t="s">
        <v>423</v>
      </c>
      <c r="H256" s="147">
        <v>1</v>
      </c>
      <c r="I256" s="147">
        <v>1</v>
      </c>
      <c r="J256" s="217">
        <f aca="true" t="shared" si="1" ref="J256:J261">H256/$L$256</f>
        <v>0.037037037037037035</v>
      </c>
      <c r="K256" s="217">
        <f aca="true" t="shared" si="2" ref="K256:K261">I256/$M$256</f>
        <v>0.03333333333333333</v>
      </c>
      <c r="L256" s="147">
        <v>27</v>
      </c>
      <c r="M256" s="147">
        <v>30</v>
      </c>
    </row>
    <row r="257" spans="3:11" s="147" customFormat="1" ht="12.75" hidden="1" outlineLevel="1">
      <c r="C257" s="147" t="s">
        <v>1595</v>
      </c>
      <c r="D257" s="147" t="s">
        <v>1624</v>
      </c>
      <c r="E257" s="189">
        <f t="shared" si="0"/>
        <v>-0.11851851851851851</v>
      </c>
      <c r="G257" s="147" t="s">
        <v>424</v>
      </c>
      <c r="H257" s="147">
        <v>5</v>
      </c>
      <c r="I257" s="218">
        <v>2</v>
      </c>
      <c r="J257" s="217">
        <f t="shared" si="1"/>
        <v>0.18518518518518517</v>
      </c>
      <c r="K257" s="217">
        <f t="shared" si="2"/>
        <v>0.06666666666666667</v>
      </c>
    </row>
    <row r="258" spans="3:11" s="147" customFormat="1" ht="12.75" hidden="1" outlineLevel="1">
      <c r="C258" s="147" t="s">
        <v>1596</v>
      </c>
      <c r="D258" s="147" t="s">
        <v>1625</v>
      </c>
      <c r="E258" s="189">
        <f t="shared" si="0"/>
        <v>0.06296296296296297</v>
      </c>
      <c r="G258" s="147" t="s">
        <v>425</v>
      </c>
      <c r="H258" s="147">
        <v>1</v>
      </c>
      <c r="I258" s="218">
        <v>3</v>
      </c>
      <c r="J258" s="217">
        <f t="shared" si="1"/>
        <v>0.037037037037037035</v>
      </c>
      <c r="K258" s="217">
        <f t="shared" si="2"/>
        <v>0.1</v>
      </c>
    </row>
    <row r="259" spans="3:11" s="147" customFormat="1" ht="12.75" hidden="1" outlineLevel="1">
      <c r="C259" s="147" t="s">
        <v>1597</v>
      </c>
      <c r="D259" s="147" t="s">
        <v>1633</v>
      </c>
      <c r="E259" s="189">
        <f t="shared" si="0"/>
        <v>-0.04074074074074074</v>
      </c>
      <c r="G259" s="147" t="s">
        <v>422</v>
      </c>
      <c r="H259" s="147">
        <v>2</v>
      </c>
      <c r="I259" s="218">
        <v>1</v>
      </c>
      <c r="J259" s="217">
        <f t="shared" si="1"/>
        <v>0.07407407407407407</v>
      </c>
      <c r="K259" s="217">
        <f t="shared" si="2"/>
        <v>0.03333333333333333</v>
      </c>
    </row>
    <row r="260" spans="3:11" s="147" customFormat="1" ht="12.75" hidden="1" outlineLevel="1">
      <c r="C260" s="147" t="s">
        <v>1598</v>
      </c>
      <c r="D260" s="147" t="s">
        <v>1626</v>
      </c>
      <c r="E260" s="189">
        <f t="shared" si="0"/>
        <v>0.13703703703703707</v>
      </c>
      <c r="G260" s="147" t="s">
        <v>421</v>
      </c>
      <c r="H260" s="147">
        <v>8</v>
      </c>
      <c r="I260" s="218">
        <v>13</v>
      </c>
      <c r="J260" s="217">
        <f t="shared" si="1"/>
        <v>0.2962962962962963</v>
      </c>
      <c r="K260" s="217">
        <f t="shared" si="2"/>
        <v>0.43333333333333335</v>
      </c>
    </row>
    <row r="261" spans="3:11" s="147" customFormat="1" ht="12.75" hidden="1" outlineLevel="1">
      <c r="C261" s="147" t="s">
        <v>1599</v>
      </c>
      <c r="D261" s="147" t="s">
        <v>1528</v>
      </c>
      <c r="E261" s="189">
        <f t="shared" si="0"/>
        <v>-0.037037037037037035</v>
      </c>
      <c r="G261" s="147" t="s">
        <v>420</v>
      </c>
      <c r="H261" s="147">
        <v>10</v>
      </c>
      <c r="I261" s="147">
        <v>10</v>
      </c>
      <c r="J261" s="147">
        <f t="shared" si="1"/>
        <v>0.37037037037037035</v>
      </c>
      <c r="K261" s="147">
        <f t="shared" si="2"/>
        <v>0.3333333333333333</v>
      </c>
    </row>
    <row r="262" spans="5:10" s="147" customFormat="1" ht="12.75" hidden="1" outlineLevel="1">
      <c r="E262" s="189"/>
      <c r="J262" s="218"/>
    </row>
    <row r="263" ht="12.75" collapsed="1"/>
    <row r="264" spans="1:2" s="119" customFormat="1" ht="15">
      <c r="A264" s="117">
        <v>4</v>
      </c>
      <c r="B264" s="119" t="s">
        <v>207</v>
      </c>
    </row>
    <row r="265" spans="2:4" s="130" customFormat="1" ht="12.75" hidden="1" outlineLevel="1">
      <c r="B265" s="130" t="s">
        <v>324</v>
      </c>
      <c r="C265" s="130" t="s">
        <v>189</v>
      </c>
      <c r="D265" s="201" t="s">
        <v>1591</v>
      </c>
    </row>
    <row r="266" spans="2:4" ht="12.75" hidden="1" outlineLevel="1">
      <c r="B266" s="91" t="s">
        <v>147</v>
      </c>
      <c r="C266" s="90" t="s">
        <v>353</v>
      </c>
      <c r="D266" s="147" t="s">
        <v>426</v>
      </c>
    </row>
    <row r="267" spans="2:4" ht="12.75" hidden="1" outlineLevel="1">
      <c r="B267" s="91" t="s">
        <v>334</v>
      </c>
      <c r="C267" s="90" t="s">
        <v>350</v>
      </c>
      <c r="D267" s="147" t="s">
        <v>162</v>
      </c>
    </row>
    <row r="268" spans="2:4" ht="12.75" hidden="1" outlineLevel="1">
      <c r="B268" s="91" t="s">
        <v>332</v>
      </c>
      <c r="C268" s="90" t="s">
        <v>554</v>
      </c>
      <c r="D268" s="147" t="s">
        <v>162</v>
      </c>
    </row>
    <row r="269" spans="2:4" ht="12.75" hidden="1" outlineLevel="1">
      <c r="B269" s="91" t="s">
        <v>337</v>
      </c>
      <c r="C269" s="90" t="s">
        <v>553</v>
      </c>
      <c r="D269" s="147" t="s">
        <v>162</v>
      </c>
    </row>
    <row r="270" spans="2:4" ht="12.75" hidden="1" outlineLevel="1">
      <c r="B270" s="91" t="s">
        <v>154</v>
      </c>
      <c r="C270" s="90" t="s">
        <v>352</v>
      </c>
      <c r="D270" s="147" t="s">
        <v>162</v>
      </c>
    </row>
    <row r="271" spans="2:4" ht="12.75" hidden="1" outlineLevel="1">
      <c r="B271" s="91" t="s">
        <v>141</v>
      </c>
      <c r="C271" s="90" t="s">
        <v>445</v>
      </c>
      <c r="D271" s="147" t="s">
        <v>162</v>
      </c>
    </row>
    <row r="272" spans="2:4" ht="12.75" hidden="1" outlineLevel="1">
      <c r="B272" s="91" t="s">
        <v>146</v>
      </c>
      <c r="C272" s="90" t="s">
        <v>349</v>
      </c>
      <c r="D272" s="147" t="s">
        <v>162</v>
      </c>
    </row>
    <row r="273" spans="2:4" ht="12.75" hidden="1" outlineLevel="1">
      <c r="B273" s="91" t="s">
        <v>146</v>
      </c>
      <c r="C273" s="90" t="s">
        <v>550</v>
      </c>
      <c r="D273" s="147" t="s">
        <v>162</v>
      </c>
    </row>
    <row r="274" spans="2:4" ht="12.75" hidden="1" outlineLevel="1">
      <c r="B274" s="91" t="s">
        <v>155</v>
      </c>
      <c r="C274" s="90" t="s">
        <v>351</v>
      </c>
      <c r="D274" s="147" t="s">
        <v>162</v>
      </c>
    </row>
    <row r="275" spans="2:4" ht="12.75" hidden="1" outlineLevel="1">
      <c r="B275" s="91" t="s">
        <v>145</v>
      </c>
      <c r="C275" s="90" t="s">
        <v>439</v>
      </c>
      <c r="D275" s="147" t="s">
        <v>162</v>
      </c>
    </row>
    <row r="276" spans="2:13" ht="12.75" hidden="1" outlineLevel="1">
      <c r="B276" s="91" t="s">
        <v>139</v>
      </c>
      <c r="C276" s="90" t="s">
        <v>551</v>
      </c>
      <c r="D276" s="147" t="s">
        <v>162</v>
      </c>
      <c r="G276" s="96"/>
      <c r="H276" s="96"/>
      <c r="I276" s="96"/>
      <c r="J276" s="96"/>
      <c r="K276" s="96"/>
      <c r="L276" s="96"/>
      <c r="M276" s="96"/>
    </row>
    <row r="277" spans="2:13" ht="12.75" hidden="1" outlineLevel="1">
      <c r="B277" s="91" t="s">
        <v>336</v>
      </c>
      <c r="C277" s="90" t="s">
        <v>281</v>
      </c>
      <c r="D277" s="147" t="s">
        <v>162</v>
      </c>
      <c r="G277" s="96"/>
      <c r="H277" s="96"/>
      <c r="I277" s="96"/>
      <c r="J277" s="97"/>
      <c r="K277" s="97"/>
      <c r="L277" s="96"/>
      <c r="M277" s="96"/>
    </row>
    <row r="278" spans="2:13" ht="12.75" hidden="1" outlineLevel="1">
      <c r="B278" s="91" t="s">
        <v>149</v>
      </c>
      <c r="C278" s="90" t="s">
        <v>277</v>
      </c>
      <c r="D278" s="147" t="s">
        <v>162</v>
      </c>
      <c r="G278" s="96"/>
      <c r="H278" s="96"/>
      <c r="I278" s="98"/>
      <c r="J278" s="99"/>
      <c r="K278" s="99"/>
      <c r="L278" s="96"/>
      <c r="M278" s="96"/>
    </row>
    <row r="279" spans="2:13" ht="12.75" hidden="1" outlineLevel="1">
      <c r="B279" s="91" t="s">
        <v>150</v>
      </c>
      <c r="C279" s="90" t="s">
        <v>278</v>
      </c>
      <c r="D279" s="147" t="s">
        <v>162</v>
      </c>
      <c r="G279" s="96"/>
      <c r="H279" s="96"/>
      <c r="I279" s="98"/>
      <c r="J279" s="99"/>
      <c r="K279" s="99"/>
      <c r="L279" s="96"/>
      <c r="M279" s="96"/>
    </row>
    <row r="280" spans="2:13" ht="12.75" hidden="1" outlineLevel="1">
      <c r="B280" s="91" t="s">
        <v>155</v>
      </c>
      <c r="C280" s="90" t="s">
        <v>279</v>
      </c>
      <c r="D280" s="147" t="s">
        <v>162</v>
      </c>
      <c r="G280" s="96"/>
      <c r="H280" s="96"/>
      <c r="I280" s="98"/>
      <c r="J280" s="99"/>
      <c r="K280" s="99"/>
      <c r="L280" s="96"/>
      <c r="M280" s="96"/>
    </row>
    <row r="281" spans="2:13" ht="12.75" hidden="1" outlineLevel="1">
      <c r="B281" s="91" t="s">
        <v>151</v>
      </c>
      <c r="C281" s="90" t="s">
        <v>282</v>
      </c>
      <c r="D281" s="147" t="s">
        <v>162</v>
      </c>
      <c r="G281" s="96"/>
      <c r="H281" s="96"/>
      <c r="I281" s="98"/>
      <c r="J281" s="99"/>
      <c r="K281" s="99"/>
      <c r="L281" s="96"/>
      <c r="M281" s="96"/>
    </row>
    <row r="282" spans="2:4" ht="12.75" hidden="1" outlineLevel="1">
      <c r="B282" s="91" t="s">
        <v>332</v>
      </c>
      <c r="C282" s="90" t="s">
        <v>286</v>
      </c>
      <c r="D282" s="147" t="s">
        <v>162</v>
      </c>
    </row>
    <row r="283" spans="2:4" ht="12.75" hidden="1" outlineLevel="1">
      <c r="B283" s="91" t="s">
        <v>156</v>
      </c>
      <c r="C283" s="90" t="s">
        <v>288</v>
      </c>
      <c r="D283" s="147" t="s">
        <v>162</v>
      </c>
    </row>
    <row r="284" spans="2:4" ht="12.75" hidden="1" outlineLevel="1">
      <c r="B284" s="91" t="s">
        <v>140</v>
      </c>
      <c r="C284" s="90" t="s">
        <v>341</v>
      </c>
      <c r="D284" s="147" t="s">
        <v>427</v>
      </c>
    </row>
    <row r="285" spans="2:4" ht="12.75" hidden="1" outlineLevel="1">
      <c r="B285" s="91" t="s">
        <v>154</v>
      </c>
      <c r="C285" s="90" t="s">
        <v>342</v>
      </c>
      <c r="D285" s="147" t="s">
        <v>427</v>
      </c>
    </row>
    <row r="286" spans="2:4" ht="12.75" hidden="1" outlineLevel="1">
      <c r="B286" s="91" t="s">
        <v>153</v>
      </c>
      <c r="C286" s="90" t="s">
        <v>444</v>
      </c>
      <c r="D286" s="147" t="s">
        <v>427</v>
      </c>
    </row>
    <row r="287" spans="2:4" ht="12.75" hidden="1" outlineLevel="1">
      <c r="B287" s="91" t="s">
        <v>142</v>
      </c>
      <c r="C287" s="90" t="s">
        <v>343</v>
      </c>
      <c r="D287" s="147" t="s">
        <v>427</v>
      </c>
    </row>
    <row r="288" spans="2:4" ht="12.75" hidden="1" outlineLevel="1">
      <c r="B288" s="91" t="s">
        <v>332</v>
      </c>
      <c r="C288" s="90" t="s">
        <v>436</v>
      </c>
      <c r="D288" s="147" t="s">
        <v>427</v>
      </c>
    </row>
    <row r="289" spans="2:4" ht="12.75" hidden="1" outlineLevel="1">
      <c r="B289" s="91" t="s">
        <v>143</v>
      </c>
      <c r="C289" s="90" t="s">
        <v>437</v>
      </c>
      <c r="D289" s="147" t="s">
        <v>427</v>
      </c>
    </row>
    <row r="290" spans="2:4" ht="12.75" hidden="1" outlineLevel="1">
      <c r="B290" s="91" t="s">
        <v>144</v>
      </c>
      <c r="C290" s="90" t="s">
        <v>438</v>
      </c>
      <c r="D290" s="147" t="s">
        <v>427</v>
      </c>
    </row>
    <row r="291" spans="2:4" ht="12.75" hidden="1" outlineLevel="1">
      <c r="B291" s="91" t="s">
        <v>153</v>
      </c>
      <c r="C291" s="90" t="s">
        <v>446</v>
      </c>
      <c r="D291" s="147" t="s">
        <v>427</v>
      </c>
    </row>
    <row r="292" spans="2:4" ht="12.75" hidden="1" outlineLevel="1">
      <c r="B292" s="91" t="s">
        <v>148</v>
      </c>
      <c r="C292" s="90" t="s">
        <v>552</v>
      </c>
      <c r="D292" s="147" t="s">
        <v>427</v>
      </c>
    </row>
    <row r="293" spans="2:4" ht="12.75" hidden="1" outlineLevel="1">
      <c r="B293" s="91" t="s">
        <v>335</v>
      </c>
      <c r="C293" s="90" t="s">
        <v>283</v>
      </c>
      <c r="D293" s="147" t="s">
        <v>427</v>
      </c>
    </row>
    <row r="294" spans="2:4" ht="12.75" hidden="1" outlineLevel="1">
      <c r="B294" s="91" t="s">
        <v>143</v>
      </c>
      <c r="C294" s="90" t="s">
        <v>287</v>
      </c>
      <c r="D294" s="147" t="s">
        <v>427</v>
      </c>
    </row>
    <row r="295" spans="2:4" ht="12.75" hidden="1" outlineLevel="1">
      <c r="B295" s="91" t="s">
        <v>152</v>
      </c>
      <c r="C295" s="90" t="s">
        <v>408</v>
      </c>
      <c r="D295" s="147" t="s">
        <v>428</v>
      </c>
    </row>
    <row r="296" spans="7:13" ht="12.75" collapsed="1">
      <c r="G296" s="96"/>
      <c r="H296" s="96"/>
      <c r="I296" s="96"/>
      <c r="J296" s="96"/>
      <c r="K296" s="96"/>
      <c r="L296" s="96"/>
      <c r="M296" s="96"/>
    </row>
    <row r="297" spans="1:13" ht="12.75">
      <c r="A297" s="107"/>
      <c r="B297" s="107" t="str">
        <f>CONCATENATE("Way too often"," = ",COUNTIF(D266:D295,"Way too often"),TEXT((COUNTIF(D266:D295,"way too often")/ROWS(D266:D295)),"   (0%)"))</f>
        <v>Way too often = 0   (0%)</v>
      </c>
      <c r="C297" s="107"/>
      <c r="D297" s="107"/>
      <c r="G297" s="96"/>
      <c r="H297" s="96"/>
      <c r="I297" s="96"/>
      <c r="J297" s="97"/>
      <c r="K297" s="97"/>
      <c r="L297" s="96"/>
      <c r="M297" s="96"/>
    </row>
    <row r="298" spans="1:13" ht="12.75">
      <c r="A298" s="107"/>
      <c r="B298" s="107" t="str">
        <f>CONCATENATE("Too often = ",COUNTIF(D266:D295,"Too often"),TEXT((COUNTIF(D266:D295,"too often")/ROWS(D266:D295)),"   (#%)"))</f>
        <v>Too often = 1   (3%)</v>
      </c>
      <c r="C298" s="107"/>
      <c r="D298" s="107"/>
      <c r="G298" s="96"/>
      <c r="H298" s="96"/>
      <c r="I298" s="98"/>
      <c r="J298" s="99"/>
      <c r="K298" s="99"/>
      <c r="L298" s="96"/>
      <c r="M298" s="96"/>
    </row>
    <row r="299" spans="1:13" ht="12.75">
      <c r="A299" s="107"/>
      <c r="B299" s="107" t="str">
        <f>CONCATENATE(D268," = ",COUNTIF(D266:D295,D268),TEXT((COUNTIF(D266:D295,"just right")/ROWS(D266:D295)),"   (#%)"))</f>
        <v>Just right = 17   (57%)</v>
      </c>
      <c r="C299" s="107"/>
      <c r="D299" s="107"/>
      <c r="G299" s="96"/>
      <c r="H299" s="96"/>
      <c r="I299" s="98"/>
      <c r="J299" s="99"/>
      <c r="K299" s="99"/>
      <c r="L299" s="96"/>
      <c r="M299" s="96"/>
    </row>
    <row r="300" spans="1:13" ht="12.75">
      <c r="A300" s="107"/>
      <c r="B300" s="107" t="str">
        <f>CONCATENATE("Not enough = ",COUNTIF(D266:D295,D284),TEXT((COUNTIF(D266:D295,"not often enough")/ROWS(D266:D295)),"   (#%)"))</f>
        <v>Not enough = 11   (37%)</v>
      </c>
      <c r="C300" s="107"/>
      <c r="D300" s="107"/>
      <c r="G300" s="96"/>
      <c r="H300" s="96"/>
      <c r="I300" s="98"/>
      <c r="J300" s="99"/>
      <c r="K300" s="99"/>
      <c r="L300" s="96"/>
      <c r="M300" s="96"/>
    </row>
    <row r="301" spans="1:13" ht="12.75">
      <c r="A301" s="107"/>
      <c r="B301" s="107" t="str">
        <f>CONCATENATE("Not nearly enough = ",COUNTIF(D266:D295,D295),TEXT((COUNTIF(D266:D295,"not nearly often enough")/ROWS(D266:D295)),"   (#%)"))</f>
        <v>Not nearly enough = 1   (3%)</v>
      </c>
      <c r="C301" s="107"/>
      <c r="D301" s="107"/>
      <c r="G301" s="96"/>
      <c r="H301" s="96"/>
      <c r="I301" s="98"/>
      <c r="J301" s="99"/>
      <c r="K301" s="99"/>
      <c r="L301" s="96"/>
      <c r="M301" s="96"/>
    </row>
    <row r="302" spans="1:4" ht="12.75">
      <c r="A302" s="107"/>
      <c r="B302" s="107"/>
      <c r="C302" s="107"/>
      <c r="D302" s="107"/>
    </row>
    <row r="303" spans="1:5" ht="12.75">
      <c r="A303" s="107"/>
      <c r="B303" s="107"/>
      <c r="C303" s="216" t="s">
        <v>1323</v>
      </c>
      <c r="D303" s="106"/>
      <c r="E303" s="147"/>
    </row>
    <row r="304" spans="3:13" ht="12.75" hidden="1" outlineLevel="1">
      <c r="C304" s="106">
        <v>2011</v>
      </c>
      <c r="D304" s="106">
        <v>2014</v>
      </c>
      <c r="E304" s="106" t="s">
        <v>1322</v>
      </c>
      <c r="F304" s="101"/>
      <c r="G304" s="96"/>
      <c r="H304" s="96" t="s">
        <v>1569</v>
      </c>
      <c r="I304" s="96" t="s">
        <v>1511</v>
      </c>
      <c r="J304" s="96">
        <v>20.11</v>
      </c>
      <c r="K304" s="96">
        <v>20.14</v>
      </c>
      <c r="L304" s="96" t="s">
        <v>1570</v>
      </c>
      <c r="M304" s="96" t="s">
        <v>1571</v>
      </c>
    </row>
    <row r="305" spans="3:13" ht="12.75" hidden="1" outlineLevel="1">
      <c r="C305" s="147" t="s">
        <v>1529</v>
      </c>
      <c r="D305" s="147" t="s">
        <v>1529</v>
      </c>
      <c r="E305" s="189">
        <v>0</v>
      </c>
      <c r="G305" s="96" t="s">
        <v>1513</v>
      </c>
      <c r="H305" s="96">
        <v>0</v>
      </c>
      <c r="I305" s="96">
        <v>0</v>
      </c>
      <c r="J305" s="97">
        <f aca="true" t="shared" si="3" ref="J305:J310">H305/$L$305</f>
        <v>0</v>
      </c>
      <c r="K305" s="97">
        <f aca="true" t="shared" si="4" ref="K305:K310">I305/$M$305</f>
        <v>0</v>
      </c>
      <c r="L305" s="96">
        <v>27</v>
      </c>
      <c r="M305" s="96">
        <v>30</v>
      </c>
    </row>
    <row r="306" spans="3:13" ht="12.75" hidden="1" outlineLevel="1">
      <c r="C306" s="147" t="s">
        <v>1530</v>
      </c>
      <c r="D306" s="147" t="s">
        <v>1535</v>
      </c>
      <c r="E306" s="189">
        <f>K306-J306</f>
        <v>-0.04074074074074074</v>
      </c>
      <c r="G306" s="96" t="s">
        <v>426</v>
      </c>
      <c r="H306" s="96">
        <v>2</v>
      </c>
      <c r="I306" s="98">
        <v>1</v>
      </c>
      <c r="J306" s="99">
        <f t="shared" si="3"/>
        <v>0.07407407407407407</v>
      </c>
      <c r="K306" s="99">
        <f t="shared" si="4"/>
        <v>0.03333333333333333</v>
      </c>
      <c r="L306" s="96"/>
      <c r="M306" s="96"/>
    </row>
    <row r="307" spans="3:13" ht="12.75" hidden="1" outlineLevel="1">
      <c r="C307" s="147" t="s">
        <v>1531</v>
      </c>
      <c r="D307" s="147" t="s">
        <v>1536</v>
      </c>
      <c r="E307" s="189">
        <f>K307-J307</f>
        <v>0.04814814814814816</v>
      </c>
      <c r="G307" s="96" t="s">
        <v>1514</v>
      </c>
      <c r="H307" s="96">
        <v>14</v>
      </c>
      <c r="I307" s="98">
        <v>17</v>
      </c>
      <c r="J307" s="99">
        <f t="shared" si="3"/>
        <v>0.5185185185185185</v>
      </c>
      <c r="K307" s="99">
        <f t="shared" si="4"/>
        <v>0.5666666666666667</v>
      </c>
      <c r="L307" s="96"/>
      <c r="M307" s="96"/>
    </row>
    <row r="308" spans="3:13" ht="12.75" hidden="1" outlineLevel="1">
      <c r="C308" s="147" t="s">
        <v>1532</v>
      </c>
      <c r="D308" s="147" t="s">
        <v>1648</v>
      </c>
      <c r="E308" s="189">
        <f>K308-J308</f>
        <v>0.033333333333333326</v>
      </c>
      <c r="G308" s="96" t="s">
        <v>427</v>
      </c>
      <c r="H308" s="96">
        <v>9</v>
      </c>
      <c r="I308" s="98">
        <v>11</v>
      </c>
      <c r="J308" s="99">
        <f t="shared" si="3"/>
        <v>0.3333333333333333</v>
      </c>
      <c r="K308" s="99">
        <f t="shared" si="4"/>
        <v>0.36666666666666664</v>
      </c>
      <c r="L308" s="96"/>
      <c r="M308" s="96"/>
    </row>
    <row r="309" spans="3:13" ht="12.75" hidden="1" outlineLevel="1">
      <c r="C309" s="147" t="s">
        <v>1533</v>
      </c>
      <c r="D309" s="147" t="s">
        <v>1468</v>
      </c>
      <c r="E309" s="189">
        <f>K309-J309</f>
        <v>-0.003703703703703702</v>
      </c>
      <c r="G309" s="96" t="s">
        <v>307</v>
      </c>
      <c r="H309" s="96">
        <v>1</v>
      </c>
      <c r="I309" s="98">
        <v>1</v>
      </c>
      <c r="J309" s="99">
        <f t="shared" si="3"/>
        <v>0.037037037037037035</v>
      </c>
      <c r="K309" s="99">
        <f t="shared" si="4"/>
        <v>0.03333333333333333</v>
      </c>
      <c r="L309" s="96"/>
      <c r="M309" s="96"/>
    </row>
    <row r="310" spans="3:13" ht="12.75" hidden="1" outlineLevel="1">
      <c r="C310" s="147" t="s">
        <v>1534</v>
      </c>
      <c r="D310" s="147" t="s">
        <v>1649</v>
      </c>
      <c r="E310" s="189">
        <f>K310-J310</f>
        <v>-0.037037037037037035</v>
      </c>
      <c r="G310" s="96" t="s">
        <v>166</v>
      </c>
      <c r="H310" s="96">
        <v>1</v>
      </c>
      <c r="I310" s="96">
        <v>0</v>
      </c>
      <c r="J310" s="96">
        <f t="shared" si="3"/>
        <v>0.037037037037037035</v>
      </c>
      <c r="K310" s="96">
        <f t="shared" si="4"/>
        <v>0</v>
      </c>
      <c r="L310" s="96"/>
      <c r="M310" s="96"/>
    </row>
    <row r="311" spans="5:10" ht="12.75" collapsed="1">
      <c r="E311" s="103"/>
      <c r="J311" s="104"/>
    </row>
    <row r="312" spans="1:2" s="119" customFormat="1" ht="15">
      <c r="A312" s="117">
        <v>5</v>
      </c>
      <c r="B312" s="119" t="s">
        <v>12</v>
      </c>
    </row>
    <row r="313" spans="2:4" s="130" customFormat="1" ht="12.75" hidden="1" outlineLevel="1">
      <c r="B313" s="130" t="s">
        <v>324</v>
      </c>
      <c r="C313" s="130" t="s">
        <v>189</v>
      </c>
      <c r="D313" s="201" t="s">
        <v>1592</v>
      </c>
    </row>
    <row r="314" spans="2:4" ht="12.75" hidden="1" outlineLevel="1">
      <c r="B314" s="91" t="s">
        <v>144</v>
      </c>
      <c r="C314" s="90" t="s">
        <v>438</v>
      </c>
      <c r="D314" s="147">
        <v>1</v>
      </c>
    </row>
    <row r="315" spans="2:4" ht="12.75" hidden="1" outlineLevel="1">
      <c r="B315" s="91" t="s">
        <v>154</v>
      </c>
      <c r="C315" s="90" t="s">
        <v>352</v>
      </c>
      <c r="D315" s="147">
        <v>1</v>
      </c>
    </row>
    <row r="316" spans="2:4" ht="12.75" hidden="1" outlineLevel="1">
      <c r="B316" s="91" t="s">
        <v>154</v>
      </c>
      <c r="C316" s="90" t="s">
        <v>342</v>
      </c>
      <c r="D316" s="147">
        <v>1</v>
      </c>
    </row>
    <row r="317" spans="2:4" ht="12.75" hidden="1" outlineLevel="1">
      <c r="B317" s="91" t="s">
        <v>156</v>
      </c>
      <c r="C317" s="90" t="s">
        <v>288</v>
      </c>
      <c r="D317" s="147">
        <v>1</v>
      </c>
    </row>
    <row r="318" spans="2:4" ht="12.75" hidden="1" outlineLevel="1">
      <c r="B318" s="91" t="s">
        <v>140</v>
      </c>
      <c r="C318" s="90" t="s">
        <v>341</v>
      </c>
      <c r="D318" s="147">
        <v>2</v>
      </c>
    </row>
    <row r="319" spans="2:4" ht="12.75" hidden="1" outlineLevel="1">
      <c r="B319" s="91" t="s">
        <v>332</v>
      </c>
      <c r="C319" s="90" t="s">
        <v>436</v>
      </c>
      <c r="D319" s="147">
        <v>2</v>
      </c>
    </row>
    <row r="320" spans="2:4" ht="12.75" hidden="1" outlineLevel="1">
      <c r="B320" s="91" t="s">
        <v>332</v>
      </c>
      <c r="C320" s="90" t="s">
        <v>286</v>
      </c>
      <c r="D320" s="147">
        <v>2</v>
      </c>
    </row>
    <row r="321" spans="2:4" ht="12.75" hidden="1" outlineLevel="1">
      <c r="B321" s="91" t="s">
        <v>143</v>
      </c>
      <c r="C321" s="90" t="s">
        <v>287</v>
      </c>
      <c r="D321" s="147">
        <v>2</v>
      </c>
    </row>
    <row r="322" spans="2:4" ht="12.75" hidden="1" outlineLevel="1">
      <c r="B322" s="91" t="s">
        <v>153</v>
      </c>
      <c r="C322" s="90" t="s">
        <v>446</v>
      </c>
      <c r="D322" s="147">
        <v>2</v>
      </c>
    </row>
    <row r="323" spans="2:4" ht="12.75" hidden="1" outlineLevel="1">
      <c r="B323" s="91" t="s">
        <v>337</v>
      </c>
      <c r="C323" s="90" t="s">
        <v>553</v>
      </c>
      <c r="D323" s="147">
        <v>2</v>
      </c>
    </row>
    <row r="324" spans="2:13" ht="12.75" hidden="1" outlineLevel="1">
      <c r="B324" s="91" t="s">
        <v>332</v>
      </c>
      <c r="C324" s="90" t="s">
        <v>554</v>
      </c>
      <c r="D324" s="147">
        <v>3</v>
      </c>
      <c r="G324" s="96"/>
      <c r="H324" s="96"/>
      <c r="I324" s="96"/>
      <c r="J324" s="96"/>
      <c r="K324" s="96"/>
      <c r="L324" s="96"/>
      <c r="M324" s="96"/>
    </row>
    <row r="325" spans="2:13" ht="12.75" hidden="1" outlineLevel="1">
      <c r="B325" s="91" t="s">
        <v>142</v>
      </c>
      <c r="C325" s="90" t="s">
        <v>343</v>
      </c>
      <c r="D325" s="147">
        <v>3</v>
      </c>
      <c r="G325" s="96"/>
      <c r="H325" s="96"/>
      <c r="I325" s="96"/>
      <c r="J325" s="97"/>
      <c r="K325" s="97"/>
      <c r="L325" s="96"/>
      <c r="M325" s="96"/>
    </row>
    <row r="326" spans="2:13" ht="12.75" hidden="1" outlineLevel="1">
      <c r="B326" s="91" t="s">
        <v>153</v>
      </c>
      <c r="C326" s="90" t="s">
        <v>444</v>
      </c>
      <c r="D326" s="202">
        <v>3</v>
      </c>
      <c r="G326" s="96"/>
      <c r="H326" s="96"/>
      <c r="I326" s="98"/>
      <c r="J326" s="99"/>
      <c r="K326" s="99"/>
      <c r="L326" s="96"/>
      <c r="M326" s="96"/>
    </row>
    <row r="327" spans="2:13" ht="12.75" hidden="1" outlineLevel="1">
      <c r="B327" s="91" t="s">
        <v>141</v>
      </c>
      <c r="C327" s="90" t="s">
        <v>445</v>
      </c>
      <c r="D327" s="147">
        <v>4</v>
      </c>
      <c r="G327" s="96"/>
      <c r="H327" s="96"/>
      <c r="I327" s="98"/>
      <c r="J327" s="99"/>
      <c r="K327" s="99"/>
      <c r="L327" s="96"/>
      <c r="M327" s="96"/>
    </row>
    <row r="328" spans="2:13" ht="12.75" hidden="1" outlineLevel="1">
      <c r="B328" s="91" t="s">
        <v>146</v>
      </c>
      <c r="C328" s="90" t="s">
        <v>550</v>
      </c>
      <c r="D328" s="147">
        <v>4</v>
      </c>
      <c r="G328" s="96"/>
      <c r="H328" s="96"/>
      <c r="I328" s="98"/>
      <c r="J328" s="99"/>
      <c r="K328" s="99"/>
      <c r="L328" s="96"/>
      <c r="M328" s="96"/>
    </row>
    <row r="329" spans="2:13" ht="12.75" hidden="1" outlineLevel="1">
      <c r="B329" s="91" t="s">
        <v>139</v>
      </c>
      <c r="C329" s="90" t="s">
        <v>551</v>
      </c>
      <c r="D329" s="147">
        <v>4</v>
      </c>
      <c r="G329" s="96"/>
      <c r="H329" s="96"/>
      <c r="I329" s="98"/>
      <c r="J329" s="99"/>
      <c r="K329" s="99"/>
      <c r="L329" s="96"/>
      <c r="M329" s="96"/>
    </row>
    <row r="330" spans="2:4" ht="12.75" hidden="1" outlineLevel="1">
      <c r="B330" s="91" t="s">
        <v>336</v>
      </c>
      <c r="C330" s="90" t="s">
        <v>281</v>
      </c>
      <c r="D330" s="147">
        <v>4</v>
      </c>
    </row>
    <row r="331" spans="2:4" ht="12.75" hidden="1" outlineLevel="1">
      <c r="B331" s="91" t="s">
        <v>334</v>
      </c>
      <c r="C331" s="90" t="s">
        <v>350</v>
      </c>
      <c r="D331" s="147">
        <v>4</v>
      </c>
    </row>
    <row r="332" spans="2:4" ht="12.75" hidden="1" outlineLevel="1">
      <c r="B332" s="91" t="s">
        <v>335</v>
      </c>
      <c r="C332" s="90" t="s">
        <v>283</v>
      </c>
      <c r="D332" s="147">
        <v>4</v>
      </c>
    </row>
    <row r="333" spans="2:4" ht="12.75" hidden="1" outlineLevel="1">
      <c r="B333" s="91" t="s">
        <v>152</v>
      </c>
      <c r="C333" s="90" t="s">
        <v>408</v>
      </c>
      <c r="D333" s="147">
        <v>4</v>
      </c>
    </row>
    <row r="334" spans="2:4" ht="12.75" hidden="1" outlineLevel="1">
      <c r="B334" s="91" t="s">
        <v>143</v>
      </c>
      <c r="C334" s="90" t="s">
        <v>437</v>
      </c>
      <c r="D334" s="147">
        <v>5</v>
      </c>
    </row>
    <row r="335" spans="2:4" ht="12.75" hidden="1" outlineLevel="1">
      <c r="B335" s="91" t="s">
        <v>150</v>
      </c>
      <c r="C335" s="90" t="s">
        <v>278</v>
      </c>
      <c r="D335" s="147">
        <v>6</v>
      </c>
    </row>
    <row r="336" spans="2:4" ht="12.75" hidden="1" outlineLevel="1">
      <c r="B336" s="91" t="s">
        <v>155</v>
      </c>
      <c r="C336" s="90" t="s">
        <v>279</v>
      </c>
      <c r="D336" s="147">
        <v>7</v>
      </c>
    </row>
    <row r="337" spans="2:4" ht="12.75" hidden="1" outlineLevel="1">
      <c r="B337" s="91" t="s">
        <v>146</v>
      </c>
      <c r="C337" s="90" t="s">
        <v>349</v>
      </c>
      <c r="D337" s="147">
        <v>8</v>
      </c>
    </row>
    <row r="338" spans="2:4" ht="12.75" hidden="1" outlineLevel="1">
      <c r="B338" s="91" t="s">
        <v>145</v>
      </c>
      <c r="C338" s="90" t="s">
        <v>439</v>
      </c>
      <c r="D338" s="147">
        <v>8</v>
      </c>
    </row>
    <row r="339" spans="2:4" ht="12.75" hidden="1" outlineLevel="1">
      <c r="B339" s="91" t="s">
        <v>149</v>
      </c>
      <c r="C339" s="90" t="s">
        <v>277</v>
      </c>
      <c r="D339" s="147">
        <v>8</v>
      </c>
    </row>
    <row r="340" spans="2:4" ht="12.75" hidden="1" outlineLevel="1">
      <c r="B340" s="91" t="s">
        <v>147</v>
      </c>
      <c r="C340" s="90" t="s">
        <v>353</v>
      </c>
      <c r="D340" s="147">
        <v>8</v>
      </c>
    </row>
    <row r="341" spans="2:4" ht="12.75" hidden="1" outlineLevel="1">
      <c r="B341" s="91" t="s">
        <v>151</v>
      </c>
      <c r="C341" s="90" t="s">
        <v>282</v>
      </c>
      <c r="D341" s="147">
        <v>8</v>
      </c>
    </row>
    <row r="342" spans="2:4" ht="12.75" hidden="1" outlineLevel="1">
      <c r="B342" s="91" t="s">
        <v>155</v>
      </c>
      <c r="C342" s="90" t="s">
        <v>351</v>
      </c>
      <c r="D342" s="147">
        <v>12</v>
      </c>
    </row>
    <row r="343" spans="2:4" ht="12.75" hidden="1" outlineLevel="1">
      <c r="B343" s="91" t="s">
        <v>148</v>
      </c>
      <c r="C343" s="90" t="s">
        <v>552</v>
      </c>
      <c r="D343" s="147">
        <v>15</v>
      </c>
    </row>
    <row r="344" ht="12.75" collapsed="1"/>
    <row r="345" ht="12.75">
      <c r="B345" s="90" t="str">
        <f>CONCATENATE("Average = ",INT(AVERAGE(D314:D343)))</f>
        <v>Average = 4</v>
      </c>
    </row>
    <row r="346" ht="12.75">
      <c r="B346" s="90" t="str">
        <f>CONCATENATE("Low = ",MIN(D314:D343))</f>
        <v>Low = 1</v>
      </c>
    </row>
    <row r="347" ht="12.75">
      <c r="B347" s="90" t="str">
        <f>CONCATENATE("High = ",MAX(D314:D343))</f>
        <v>High = 15</v>
      </c>
    </row>
    <row r="348" s="147" customFormat="1" ht="12.75">
      <c r="C348" s="219" t="s">
        <v>1323</v>
      </c>
    </row>
    <row r="349" spans="3:12" s="147" customFormat="1" ht="12.75" hidden="1" outlineLevel="1">
      <c r="C349" s="106">
        <v>2011</v>
      </c>
      <c r="D349" s="106">
        <v>2014</v>
      </c>
      <c r="E349" s="106" t="s">
        <v>1322</v>
      </c>
      <c r="F349" s="106"/>
      <c r="I349" s="106" t="s">
        <v>1508</v>
      </c>
      <c r="J349" s="106" t="s">
        <v>1511</v>
      </c>
      <c r="K349" s="220"/>
      <c r="L349" s="220"/>
    </row>
    <row r="350" spans="3:10" s="147" customFormat="1" ht="12.75" hidden="1" outlineLevel="1">
      <c r="C350" s="147" t="s">
        <v>1515</v>
      </c>
      <c r="D350" s="147" t="str">
        <f>B345</f>
        <v>Average = 4</v>
      </c>
      <c r="E350" s="189">
        <f>(J350-I350)/I350</f>
        <v>0</v>
      </c>
      <c r="H350" s="147" t="s">
        <v>1510</v>
      </c>
      <c r="I350" s="147">
        <v>4</v>
      </c>
      <c r="J350" s="218">
        <v>4</v>
      </c>
    </row>
    <row r="351" s="147" customFormat="1" ht="12.75" collapsed="1"/>
    <row r="352" spans="1:13" s="119" customFormat="1" ht="15">
      <c r="A352" s="117">
        <v>5</v>
      </c>
      <c r="B352" s="119" t="s">
        <v>429</v>
      </c>
      <c r="G352" s="114"/>
      <c r="H352" s="114"/>
      <c r="I352" s="114"/>
      <c r="J352" s="114"/>
      <c r="K352" s="114"/>
      <c r="L352" s="114"/>
      <c r="M352" s="114"/>
    </row>
    <row r="353" spans="2:11" s="130" customFormat="1" ht="12.75" hidden="1" outlineLevel="1">
      <c r="B353" s="130" t="s">
        <v>324</v>
      </c>
      <c r="C353" s="130" t="s">
        <v>189</v>
      </c>
      <c r="D353" s="221" t="s">
        <v>432</v>
      </c>
      <c r="E353" s="221" t="s">
        <v>433</v>
      </c>
      <c r="F353" s="221" t="s">
        <v>434</v>
      </c>
      <c r="G353" s="221" t="s">
        <v>435</v>
      </c>
      <c r="H353" s="221" t="s">
        <v>548</v>
      </c>
      <c r="I353" s="130" t="s">
        <v>200</v>
      </c>
      <c r="J353" s="222"/>
      <c r="K353" s="222"/>
    </row>
    <row r="354" spans="2:13" ht="12.75" hidden="1" outlineLevel="1">
      <c r="B354" s="91" t="s">
        <v>140</v>
      </c>
      <c r="C354" s="90" t="s">
        <v>341</v>
      </c>
      <c r="D354" s="223" t="s">
        <v>201</v>
      </c>
      <c r="E354" s="223" t="s">
        <v>201</v>
      </c>
      <c r="F354" s="223" t="s">
        <v>201</v>
      </c>
      <c r="G354" s="223" t="s">
        <v>201</v>
      </c>
      <c r="H354" s="223"/>
      <c r="I354" s="98"/>
      <c r="J354" s="99"/>
      <c r="K354" s="99"/>
      <c r="L354" s="96"/>
      <c r="M354" s="96"/>
    </row>
    <row r="355" spans="2:13" ht="12.75" hidden="1" outlineLevel="1">
      <c r="B355" s="91" t="s">
        <v>332</v>
      </c>
      <c r="C355" s="90" t="s">
        <v>554</v>
      </c>
      <c r="D355" s="223" t="s">
        <v>201</v>
      </c>
      <c r="E355" s="223" t="s">
        <v>201</v>
      </c>
      <c r="F355" s="223" t="s">
        <v>201</v>
      </c>
      <c r="G355" s="223" t="s">
        <v>201</v>
      </c>
      <c r="H355" s="223"/>
      <c r="I355" s="98" t="s">
        <v>549</v>
      </c>
      <c r="J355" s="99"/>
      <c r="K355" s="99"/>
      <c r="L355" s="96"/>
      <c r="M355" s="96"/>
    </row>
    <row r="356" spans="2:13" ht="12.75" hidden="1" outlineLevel="1">
      <c r="B356" s="91" t="s">
        <v>332</v>
      </c>
      <c r="C356" s="90" t="s">
        <v>436</v>
      </c>
      <c r="D356" s="223" t="s">
        <v>201</v>
      </c>
      <c r="E356" s="223" t="s">
        <v>201</v>
      </c>
      <c r="F356" s="223" t="s">
        <v>201</v>
      </c>
      <c r="G356" s="223" t="s">
        <v>201</v>
      </c>
      <c r="H356" s="223" t="s">
        <v>201</v>
      </c>
      <c r="I356" s="98"/>
      <c r="J356" s="99"/>
      <c r="K356" s="99"/>
      <c r="L356" s="96"/>
      <c r="M356" s="96"/>
    </row>
    <row r="357" spans="2:13" ht="12.75" hidden="1" outlineLevel="1">
      <c r="B357" s="91" t="s">
        <v>332</v>
      </c>
      <c r="C357" s="90" t="s">
        <v>286</v>
      </c>
      <c r="D357" s="223" t="s">
        <v>201</v>
      </c>
      <c r="E357" s="223" t="s">
        <v>201</v>
      </c>
      <c r="F357" s="223" t="s">
        <v>201</v>
      </c>
      <c r="G357" s="223" t="s">
        <v>201</v>
      </c>
      <c r="H357" s="223"/>
      <c r="I357" s="98"/>
      <c r="J357" s="99"/>
      <c r="K357" s="99"/>
      <c r="L357" s="96"/>
      <c r="M357" s="96"/>
    </row>
    <row r="358" spans="2:9" ht="12.75" hidden="1" outlineLevel="1">
      <c r="B358" s="91" t="s">
        <v>141</v>
      </c>
      <c r="C358" s="90" t="s">
        <v>445</v>
      </c>
      <c r="D358" s="223" t="s">
        <v>201</v>
      </c>
      <c r="E358" s="223" t="s">
        <v>201</v>
      </c>
      <c r="F358" s="223" t="s">
        <v>201</v>
      </c>
      <c r="G358" s="223" t="s">
        <v>201</v>
      </c>
      <c r="H358" s="223"/>
      <c r="I358" s="89" t="s">
        <v>544</v>
      </c>
    </row>
    <row r="359" spans="2:9" ht="12.75" hidden="1" outlineLevel="1">
      <c r="B359" s="91" t="s">
        <v>146</v>
      </c>
      <c r="C359" s="90" t="s">
        <v>349</v>
      </c>
      <c r="D359" s="223" t="s">
        <v>201</v>
      </c>
      <c r="E359" s="223" t="s">
        <v>201</v>
      </c>
      <c r="F359" s="223" t="s">
        <v>201</v>
      </c>
      <c r="G359" s="223" t="s">
        <v>201</v>
      </c>
      <c r="H359" s="223" t="s">
        <v>201</v>
      </c>
      <c r="I359" s="89" t="s">
        <v>544</v>
      </c>
    </row>
    <row r="360" spans="2:9" ht="12.75" hidden="1" outlineLevel="1">
      <c r="B360" s="91" t="s">
        <v>146</v>
      </c>
      <c r="C360" s="90" t="s">
        <v>550</v>
      </c>
      <c r="D360" s="223" t="s">
        <v>201</v>
      </c>
      <c r="E360" s="223" t="s">
        <v>201</v>
      </c>
      <c r="F360" s="223" t="s">
        <v>201</v>
      </c>
      <c r="G360" s="223" t="s">
        <v>201</v>
      </c>
      <c r="H360" s="223"/>
      <c r="I360" s="89" t="s">
        <v>545</v>
      </c>
    </row>
    <row r="361" spans="2:9" ht="12.75" hidden="1" outlineLevel="1">
      <c r="B361" s="91" t="s">
        <v>142</v>
      </c>
      <c r="C361" s="90" t="s">
        <v>343</v>
      </c>
      <c r="D361" s="223" t="s">
        <v>201</v>
      </c>
      <c r="E361" s="223" t="s">
        <v>201</v>
      </c>
      <c r="F361" s="223" t="s">
        <v>201</v>
      </c>
      <c r="G361" s="223" t="s">
        <v>201</v>
      </c>
      <c r="H361" s="223" t="s">
        <v>201</v>
      </c>
      <c r="I361" s="89"/>
    </row>
    <row r="362" spans="2:9" ht="12.75" hidden="1" outlineLevel="1">
      <c r="B362" s="91" t="s">
        <v>143</v>
      </c>
      <c r="C362" s="90" t="s">
        <v>437</v>
      </c>
      <c r="D362" s="223" t="s">
        <v>201</v>
      </c>
      <c r="E362" s="223" t="s">
        <v>201</v>
      </c>
      <c r="F362" s="223" t="s">
        <v>201</v>
      </c>
      <c r="G362" s="223" t="s">
        <v>201</v>
      </c>
      <c r="H362" s="223"/>
      <c r="I362" s="89" t="s">
        <v>448</v>
      </c>
    </row>
    <row r="363" spans="2:9" ht="12.75" hidden="1" outlineLevel="1">
      <c r="B363" s="91" t="s">
        <v>143</v>
      </c>
      <c r="C363" s="90" t="s">
        <v>287</v>
      </c>
      <c r="D363" s="223" t="s">
        <v>201</v>
      </c>
      <c r="E363" s="223" t="s">
        <v>201</v>
      </c>
      <c r="F363" s="223" t="s">
        <v>201</v>
      </c>
      <c r="G363" s="223" t="s">
        <v>201</v>
      </c>
      <c r="H363" s="223"/>
      <c r="I363" s="89" t="s">
        <v>1608</v>
      </c>
    </row>
    <row r="364" spans="2:9" ht="12.75" hidden="1" outlineLevel="1">
      <c r="B364" s="91" t="s">
        <v>144</v>
      </c>
      <c r="C364" s="90" t="s">
        <v>438</v>
      </c>
      <c r="D364" s="223" t="s">
        <v>201</v>
      </c>
      <c r="E364" s="223" t="s">
        <v>201</v>
      </c>
      <c r="F364" s="223" t="s">
        <v>201</v>
      </c>
      <c r="G364" s="223"/>
      <c r="H364" s="223" t="s">
        <v>201</v>
      </c>
      <c r="I364" s="89"/>
    </row>
    <row r="365" spans="2:9" ht="12.75" hidden="1" outlineLevel="1">
      <c r="B365" s="91" t="s">
        <v>153</v>
      </c>
      <c r="C365" s="90" t="s">
        <v>444</v>
      </c>
      <c r="D365" s="223" t="s">
        <v>201</v>
      </c>
      <c r="E365" s="223" t="s">
        <v>201</v>
      </c>
      <c r="F365" s="223" t="s">
        <v>201</v>
      </c>
      <c r="G365" s="223" t="s">
        <v>201</v>
      </c>
      <c r="H365" s="223" t="s">
        <v>201</v>
      </c>
      <c r="I365" s="89" t="s">
        <v>449</v>
      </c>
    </row>
    <row r="366" spans="2:9" ht="12.75" hidden="1" outlineLevel="1">
      <c r="B366" s="91" t="s">
        <v>153</v>
      </c>
      <c r="C366" s="90" t="s">
        <v>446</v>
      </c>
      <c r="D366" s="223"/>
      <c r="E366" s="223" t="s">
        <v>201</v>
      </c>
      <c r="F366" s="223" t="s">
        <v>201</v>
      </c>
      <c r="G366" s="223" t="s">
        <v>201</v>
      </c>
      <c r="H366" s="223"/>
      <c r="I366" s="89" t="s">
        <v>450</v>
      </c>
    </row>
    <row r="367" spans="2:9" ht="12.75" hidden="1" outlineLevel="1">
      <c r="B367" s="91" t="s">
        <v>139</v>
      </c>
      <c r="C367" s="90" t="s">
        <v>551</v>
      </c>
      <c r="D367" s="223" t="s">
        <v>201</v>
      </c>
      <c r="E367" s="223" t="s">
        <v>201</v>
      </c>
      <c r="F367" s="223" t="s">
        <v>201</v>
      </c>
      <c r="G367" s="223" t="s">
        <v>201</v>
      </c>
      <c r="H367" s="223"/>
      <c r="I367" s="89"/>
    </row>
    <row r="368" spans="2:9" ht="12.75" hidden="1" outlineLevel="1">
      <c r="B368" s="91" t="s">
        <v>148</v>
      </c>
      <c r="C368" s="90" t="s">
        <v>552</v>
      </c>
      <c r="D368" s="223" t="s">
        <v>201</v>
      </c>
      <c r="E368" s="223" t="s">
        <v>201</v>
      </c>
      <c r="F368" s="223" t="s">
        <v>201</v>
      </c>
      <c r="G368" s="223" t="s">
        <v>201</v>
      </c>
      <c r="H368" s="223" t="s">
        <v>201</v>
      </c>
      <c r="I368" s="89" t="s">
        <v>1</v>
      </c>
    </row>
    <row r="369" spans="2:9" ht="12.75" hidden="1" outlineLevel="1">
      <c r="B369" s="91" t="s">
        <v>154</v>
      </c>
      <c r="C369" s="90" t="s">
        <v>352</v>
      </c>
      <c r="D369" s="223" t="s">
        <v>201</v>
      </c>
      <c r="E369" s="223" t="s">
        <v>201</v>
      </c>
      <c r="F369" s="223" t="s">
        <v>201</v>
      </c>
      <c r="G369" s="223" t="s">
        <v>201</v>
      </c>
      <c r="H369" s="223"/>
      <c r="I369" s="89" t="s">
        <v>2</v>
      </c>
    </row>
    <row r="370" spans="2:9" ht="12.75" hidden="1" outlineLevel="1">
      <c r="B370" s="91" t="s">
        <v>154</v>
      </c>
      <c r="C370" s="90" t="s">
        <v>342</v>
      </c>
      <c r="D370" s="223" t="s">
        <v>201</v>
      </c>
      <c r="E370" s="223" t="s">
        <v>201</v>
      </c>
      <c r="F370" s="223" t="s">
        <v>201</v>
      </c>
      <c r="G370" s="223" t="s">
        <v>201</v>
      </c>
      <c r="H370" s="224"/>
      <c r="I370" s="225" t="s">
        <v>0</v>
      </c>
    </row>
    <row r="371" spans="2:9" ht="12.75" hidden="1" outlineLevel="1">
      <c r="B371" s="91" t="s">
        <v>336</v>
      </c>
      <c r="C371" s="90" t="s">
        <v>281</v>
      </c>
      <c r="D371" s="223" t="s">
        <v>201</v>
      </c>
      <c r="E371" s="223" t="s">
        <v>201</v>
      </c>
      <c r="F371" s="223" t="s">
        <v>201</v>
      </c>
      <c r="G371" s="223" t="s">
        <v>201</v>
      </c>
      <c r="H371" s="223"/>
      <c r="I371" s="89" t="s">
        <v>1607</v>
      </c>
    </row>
    <row r="372" spans="2:9" ht="12.75" hidden="1" outlineLevel="1">
      <c r="B372" s="91" t="s">
        <v>334</v>
      </c>
      <c r="C372" s="90" t="s">
        <v>350</v>
      </c>
      <c r="D372" s="223" t="s">
        <v>201</v>
      </c>
      <c r="E372" s="223" t="s">
        <v>201</v>
      </c>
      <c r="F372" s="223" t="s">
        <v>201</v>
      </c>
      <c r="G372" s="223" t="s">
        <v>201</v>
      </c>
      <c r="H372" s="223"/>
      <c r="I372" s="89" t="s">
        <v>451</v>
      </c>
    </row>
    <row r="373" spans="2:9" ht="12.75" hidden="1" outlineLevel="1">
      <c r="B373" s="91" t="s">
        <v>145</v>
      </c>
      <c r="C373" s="90" t="s">
        <v>439</v>
      </c>
      <c r="D373" s="223" t="s">
        <v>201</v>
      </c>
      <c r="E373" s="223" t="s">
        <v>201</v>
      </c>
      <c r="F373" s="223" t="s">
        <v>201</v>
      </c>
      <c r="G373" s="223" t="s">
        <v>201</v>
      </c>
      <c r="H373" s="223"/>
      <c r="I373" s="89" t="s">
        <v>358</v>
      </c>
    </row>
    <row r="374" spans="2:9" ht="12.75" hidden="1" outlineLevel="1">
      <c r="B374" s="91" t="s">
        <v>335</v>
      </c>
      <c r="C374" s="90" t="s">
        <v>283</v>
      </c>
      <c r="D374" s="223" t="s">
        <v>201</v>
      </c>
      <c r="E374" s="223" t="s">
        <v>201</v>
      </c>
      <c r="F374" s="223" t="s">
        <v>201</v>
      </c>
      <c r="G374" s="223" t="s">
        <v>201</v>
      </c>
      <c r="H374" s="223"/>
      <c r="I374" s="89"/>
    </row>
    <row r="375" spans="2:9" ht="12.75" hidden="1" outlineLevel="1">
      <c r="B375" s="91" t="s">
        <v>152</v>
      </c>
      <c r="C375" s="90" t="s">
        <v>408</v>
      </c>
      <c r="D375" s="223" t="s">
        <v>201</v>
      </c>
      <c r="E375" s="223" t="s">
        <v>201</v>
      </c>
      <c r="F375" s="223"/>
      <c r="G375" s="223"/>
      <c r="H375" s="223"/>
      <c r="I375" s="89" t="s">
        <v>359</v>
      </c>
    </row>
    <row r="376" spans="2:9" ht="12.75" hidden="1" outlineLevel="1">
      <c r="B376" s="91" t="s">
        <v>149</v>
      </c>
      <c r="C376" s="90" t="s">
        <v>277</v>
      </c>
      <c r="D376" s="223" t="s">
        <v>201</v>
      </c>
      <c r="E376" s="223" t="s">
        <v>201</v>
      </c>
      <c r="F376" s="223" t="s">
        <v>201</v>
      </c>
      <c r="G376" s="223" t="s">
        <v>201</v>
      </c>
      <c r="H376" s="223"/>
      <c r="I376" s="89"/>
    </row>
    <row r="377" spans="2:9" ht="12.75" hidden="1" outlineLevel="1">
      <c r="B377" s="91" t="s">
        <v>150</v>
      </c>
      <c r="C377" s="90" t="s">
        <v>278</v>
      </c>
      <c r="D377" s="223" t="s">
        <v>201</v>
      </c>
      <c r="E377" s="223" t="s">
        <v>201</v>
      </c>
      <c r="F377" s="223" t="s">
        <v>201</v>
      </c>
      <c r="G377" s="223" t="s">
        <v>201</v>
      </c>
      <c r="H377" s="223" t="s">
        <v>201</v>
      </c>
      <c r="I377" s="89"/>
    </row>
    <row r="378" spans="2:9" ht="12.75" hidden="1" outlineLevel="1">
      <c r="B378" s="91" t="s">
        <v>155</v>
      </c>
      <c r="C378" s="90" t="s">
        <v>351</v>
      </c>
      <c r="D378" s="223" t="s">
        <v>201</v>
      </c>
      <c r="E378" s="223" t="s">
        <v>201</v>
      </c>
      <c r="F378" s="223" t="s">
        <v>201</v>
      </c>
      <c r="G378" s="223" t="s">
        <v>201</v>
      </c>
      <c r="H378" s="223"/>
      <c r="I378" s="89"/>
    </row>
    <row r="379" spans="2:9" ht="12.75" hidden="1" outlineLevel="1">
      <c r="B379" s="91" t="s">
        <v>155</v>
      </c>
      <c r="C379" s="90" t="s">
        <v>279</v>
      </c>
      <c r="D379" s="223" t="s">
        <v>201</v>
      </c>
      <c r="E379" s="223" t="s">
        <v>201</v>
      </c>
      <c r="F379" s="223" t="s">
        <v>201</v>
      </c>
      <c r="G379" s="223" t="s">
        <v>201</v>
      </c>
      <c r="H379" s="223" t="s">
        <v>201</v>
      </c>
      <c r="I379" s="89" t="s">
        <v>360</v>
      </c>
    </row>
    <row r="380" spans="2:13" ht="12.75" hidden="1" outlineLevel="1">
      <c r="B380" s="91" t="s">
        <v>147</v>
      </c>
      <c r="C380" s="90" t="s">
        <v>353</v>
      </c>
      <c r="D380" s="223"/>
      <c r="E380" s="223" t="s">
        <v>201</v>
      </c>
      <c r="F380" s="223" t="s">
        <v>201</v>
      </c>
      <c r="G380" s="223" t="s">
        <v>201</v>
      </c>
      <c r="H380" s="223"/>
      <c r="I380" s="96" t="s">
        <v>361</v>
      </c>
      <c r="J380" s="96"/>
      <c r="K380" s="96"/>
      <c r="L380" s="96"/>
      <c r="M380" s="96"/>
    </row>
    <row r="381" spans="2:13" ht="12.75" hidden="1" outlineLevel="1">
      <c r="B381" s="91" t="s">
        <v>151</v>
      </c>
      <c r="C381" s="90" t="s">
        <v>282</v>
      </c>
      <c r="D381" s="223" t="s">
        <v>201</v>
      </c>
      <c r="E381" s="223" t="s">
        <v>201</v>
      </c>
      <c r="F381" s="223" t="s">
        <v>201</v>
      </c>
      <c r="G381" s="223" t="s">
        <v>201</v>
      </c>
      <c r="H381" s="223"/>
      <c r="I381" s="96" t="s">
        <v>362</v>
      </c>
      <c r="J381" s="97"/>
      <c r="K381" s="97"/>
      <c r="L381" s="96"/>
      <c r="M381" s="96"/>
    </row>
    <row r="382" spans="2:13" ht="12.75" hidden="1" outlineLevel="1">
      <c r="B382" s="91" t="s">
        <v>337</v>
      </c>
      <c r="C382" s="90" t="s">
        <v>553</v>
      </c>
      <c r="D382" s="223"/>
      <c r="E382" s="223" t="s">
        <v>201</v>
      </c>
      <c r="F382" s="223" t="s">
        <v>201</v>
      </c>
      <c r="G382" s="223" t="s">
        <v>201</v>
      </c>
      <c r="H382" s="223"/>
      <c r="I382" s="98" t="s">
        <v>363</v>
      </c>
      <c r="J382" s="99"/>
      <c r="K382" s="99"/>
      <c r="L382" s="96"/>
      <c r="M382" s="96"/>
    </row>
    <row r="383" spans="2:13" ht="12.75" hidden="1" outlineLevel="1">
      <c r="B383" s="91" t="s">
        <v>156</v>
      </c>
      <c r="C383" s="90" t="s">
        <v>288</v>
      </c>
      <c r="D383" s="223" t="s">
        <v>201</v>
      </c>
      <c r="E383" s="223" t="s">
        <v>201</v>
      </c>
      <c r="F383" s="223" t="s">
        <v>201</v>
      </c>
      <c r="G383" s="223" t="s">
        <v>201</v>
      </c>
      <c r="H383" s="223"/>
      <c r="I383" s="98" t="s">
        <v>364</v>
      </c>
      <c r="J383" s="99"/>
      <c r="K383" s="99"/>
      <c r="L383" s="96"/>
      <c r="M383" s="96"/>
    </row>
    <row r="384" spans="7:13" ht="12.75" collapsed="1">
      <c r="G384" s="96"/>
      <c r="H384" s="96"/>
      <c r="I384" s="98"/>
      <c r="J384" s="99"/>
      <c r="K384" s="99"/>
      <c r="L384" s="96"/>
      <c r="M384" s="96"/>
    </row>
    <row r="385" spans="1:13" ht="12.75">
      <c r="A385" s="107"/>
      <c r="B385" s="107" t="str">
        <f>CONCATENATE(D353," = ",COUNTA(D354:D383),TEXT((COUNTIF(D354:D383,"x")/ROWS(D354:D383)),"   (#%)"))</f>
        <v>Newsletters = 27   (90%)</v>
      </c>
      <c r="C385" s="107"/>
      <c r="H385" s="96"/>
      <c r="I385" s="98"/>
      <c r="J385" s="99"/>
      <c r="K385" s="99"/>
      <c r="L385" s="96"/>
      <c r="M385" s="96"/>
    </row>
    <row r="386" spans="1:9" ht="12.75">
      <c r="A386" s="107"/>
      <c r="B386" s="107" t="str">
        <f>CONCATENATE(E353," = ",COUNTA(E354:E383),TEXT((COUNTIF(E354:E383,"x")/ROWS(E354:E383)),"   (#%)"))</f>
        <v>Action Alerts = 30   (100%)</v>
      </c>
      <c r="C386" s="107"/>
      <c r="I386" s="89"/>
    </row>
    <row r="387" spans="1:9" ht="12.75">
      <c r="A387" s="107"/>
      <c r="B387" s="107" t="str">
        <f>CONCATENATE(F353," = ",COUNTA(F354:F383),TEXT((COUNTIF(F354:F383,"x")/ROWS(F354:F383)),"   (#%)"))</f>
        <v>Event Promotions = 29   (97%)</v>
      </c>
      <c r="C387" s="107"/>
      <c r="I387" s="89"/>
    </row>
    <row r="388" spans="1:9" ht="12.75">
      <c r="A388" s="107"/>
      <c r="B388" s="107" t="str">
        <f>CONCATENATE(G353," = ",COUNTA(G354:G383),TEXT((COUNTIF(G354:G383,"x")/ROWS(G354:G383)),"   (#%)"))</f>
        <v>Training Notifications = 28   (93%)</v>
      </c>
      <c r="C388" s="107"/>
      <c r="I388" s="89"/>
    </row>
    <row r="389" spans="1:9" ht="12.75">
      <c r="A389" s="107"/>
      <c r="B389" s="107" t="str">
        <f>CONCATENATE(H353," = ",COUNTA(H354:H383),TEXT((COUNTIF(H354:H383,"x")/ROWS(H354:H383)),"   (#%)"))</f>
        <v>Fundraising Appeals = 8   (27%)</v>
      </c>
      <c r="C389" s="107"/>
      <c r="I389" s="89"/>
    </row>
    <row r="390" spans="1:9" ht="12.75">
      <c r="A390" s="107"/>
      <c r="B390" s="107"/>
      <c r="C390" s="107"/>
      <c r="I390" s="89"/>
    </row>
    <row r="391" spans="1:9" ht="12.75">
      <c r="A391" s="107"/>
      <c r="B391" s="107"/>
      <c r="C391" s="139" t="s">
        <v>1323</v>
      </c>
      <c r="I391" s="89"/>
    </row>
    <row r="392" spans="3:9" s="162" customFormat="1" ht="12.75">
      <c r="C392" s="162" t="s">
        <v>1516</v>
      </c>
      <c r="I392" s="92"/>
    </row>
    <row r="393" s="89" customFormat="1" ht="12.75">
      <c r="A393" s="100"/>
    </row>
    <row r="394" spans="1:2" s="119" customFormat="1" ht="15">
      <c r="A394" s="117">
        <v>6</v>
      </c>
      <c r="B394" s="119" t="s">
        <v>13</v>
      </c>
    </row>
    <row r="395" spans="2:10" s="130" customFormat="1" ht="12.75" hidden="1" outlineLevel="1">
      <c r="B395" s="131" t="s">
        <v>324</v>
      </c>
      <c r="C395" s="130" t="s">
        <v>189</v>
      </c>
      <c r="D395" s="221" t="s">
        <v>204</v>
      </c>
      <c r="E395" s="221" t="s">
        <v>205</v>
      </c>
      <c r="F395" s="221" t="s">
        <v>206</v>
      </c>
      <c r="G395" s="221" t="s">
        <v>365</v>
      </c>
      <c r="H395" s="226" t="s">
        <v>200</v>
      </c>
      <c r="J395" s="131"/>
    </row>
    <row r="396" spans="2:10" ht="12.75" hidden="1" outlineLevel="1">
      <c r="B396" s="91" t="s">
        <v>140</v>
      </c>
      <c r="C396" s="89" t="s">
        <v>341</v>
      </c>
      <c r="D396" s="223"/>
      <c r="E396" s="223" t="s">
        <v>201</v>
      </c>
      <c r="F396" s="223" t="s">
        <v>201</v>
      </c>
      <c r="G396" s="223" t="s">
        <v>201</v>
      </c>
      <c r="H396" s="89" t="s">
        <v>367</v>
      </c>
      <c r="J396" s="89"/>
    </row>
    <row r="397" spans="2:10" ht="12.75" hidden="1" outlineLevel="1">
      <c r="B397" s="91" t="s">
        <v>332</v>
      </c>
      <c r="C397" s="89" t="s">
        <v>554</v>
      </c>
      <c r="D397" s="223"/>
      <c r="E397" s="223"/>
      <c r="F397" s="223"/>
      <c r="G397" s="223" t="s">
        <v>201</v>
      </c>
      <c r="H397" s="89"/>
      <c r="J397" s="89"/>
    </row>
    <row r="398" spans="2:10" ht="12.75" hidden="1" outlineLevel="1">
      <c r="B398" s="91" t="s">
        <v>332</v>
      </c>
      <c r="C398" s="89" t="s">
        <v>436</v>
      </c>
      <c r="D398" s="223" t="s">
        <v>201</v>
      </c>
      <c r="E398" s="223" t="s">
        <v>201</v>
      </c>
      <c r="F398" s="223"/>
      <c r="G398" s="223"/>
      <c r="H398" s="89" t="s">
        <v>368</v>
      </c>
      <c r="J398" s="89"/>
    </row>
    <row r="399" spans="2:10" ht="12.75" hidden="1" outlineLevel="1">
      <c r="B399" s="91" t="s">
        <v>332</v>
      </c>
      <c r="C399" s="89" t="s">
        <v>286</v>
      </c>
      <c r="D399" s="223" t="s">
        <v>201</v>
      </c>
      <c r="E399" s="223" t="s">
        <v>201</v>
      </c>
      <c r="F399" s="223" t="s">
        <v>201</v>
      </c>
      <c r="G399" s="223"/>
      <c r="H399" s="89" t="s">
        <v>473</v>
      </c>
      <c r="J399" s="89"/>
    </row>
    <row r="400" spans="2:10" ht="12.75" hidden="1" outlineLevel="1">
      <c r="B400" s="91" t="s">
        <v>141</v>
      </c>
      <c r="C400" s="89" t="s">
        <v>445</v>
      </c>
      <c r="D400" s="223" t="s">
        <v>201</v>
      </c>
      <c r="E400" s="223" t="s">
        <v>201</v>
      </c>
      <c r="F400" s="223" t="s">
        <v>201</v>
      </c>
      <c r="G400" s="223"/>
      <c r="H400" s="89"/>
      <c r="J400" s="89"/>
    </row>
    <row r="401" spans="2:10" ht="12.75" hidden="1" outlineLevel="1">
      <c r="B401" s="91" t="s">
        <v>146</v>
      </c>
      <c r="C401" s="89" t="s">
        <v>349</v>
      </c>
      <c r="D401" s="223" t="s">
        <v>201</v>
      </c>
      <c r="E401" s="223" t="s">
        <v>201</v>
      </c>
      <c r="F401" s="223"/>
      <c r="G401" s="223"/>
      <c r="H401" s="89"/>
      <c r="J401" s="89"/>
    </row>
    <row r="402" spans="2:10" ht="12.75" hidden="1" outlineLevel="1">
      <c r="B402" s="91" t="s">
        <v>146</v>
      </c>
      <c r="C402" s="89" t="s">
        <v>550</v>
      </c>
      <c r="D402" s="223"/>
      <c r="E402" s="223" t="s">
        <v>201</v>
      </c>
      <c r="F402" s="223" t="s">
        <v>201</v>
      </c>
      <c r="G402" s="223"/>
      <c r="H402" s="89" t="s">
        <v>474</v>
      </c>
      <c r="J402" s="89"/>
    </row>
    <row r="403" spans="2:10" ht="12.75" hidden="1" outlineLevel="1">
      <c r="B403" s="91" t="s">
        <v>142</v>
      </c>
      <c r="C403" s="89" t="s">
        <v>343</v>
      </c>
      <c r="D403" s="223" t="s">
        <v>201</v>
      </c>
      <c r="E403" s="223" t="s">
        <v>201</v>
      </c>
      <c r="F403" s="223" t="s">
        <v>201</v>
      </c>
      <c r="G403" s="223"/>
      <c r="H403" s="89" t="s">
        <v>475</v>
      </c>
      <c r="J403" s="89"/>
    </row>
    <row r="404" spans="2:10" ht="12.75" hidden="1" outlineLevel="1">
      <c r="B404" s="91" t="s">
        <v>143</v>
      </c>
      <c r="C404" s="89" t="s">
        <v>437</v>
      </c>
      <c r="D404" s="223" t="s">
        <v>201</v>
      </c>
      <c r="E404" s="223" t="s">
        <v>201</v>
      </c>
      <c r="F404" s="223" t="s">
        <v>201</v>
      </c>
      <c r="G404" s="223"/>
      <c r="H404" s="89"/>
      <c r="J404" s="89"/>
    </row>
    <row r="405" spans="2:10" ht="12.75" hidden="1" outlineLevel="1">
      <c r="B405" s="91" t="s">
        <v>143</v>
      </c>
      <c r="C405" s="89" t="s">
        <v>287</v>
      </c>
      <c r="D405" s="223" t="s">
        <v>201</v>
      </c>
      <c r="E405" s="223" t="s">
        <v>201</v>
      </c>
      <c r="F405" s="223" t="s">
        <v>201</v>
      </c>
      <c r="G405" s="223"/>
      <c r="H405" s="89"/>
      <c r="J405" s="89"/>
    </row>
    <row r="406" spans="2:10" ht="12.75" hidden="1" outlineLevel="1">
      <c r="B406" s="91" t="s">
        <v>144</v>
      </c>
      <c r="C406" s="89" t="s">
        <v>438</v>
      </c>
      <c r="D406" s="223"/>
      <c r="E406" s="223" t="s">
        <v>201</v>
      </c>
      <c r="F406" s="223" t="s">
        <v>201</v>
      </c>
      <c r="G406" s="223"/>
      <c r="H406" s="89"/>
      <c r="J406" s="89"/>
    </row>
    <row r="407" spans="2:10" ht="12.75" hidden="1" outlineLevel="1">
      <c r="B407" s="91" t="s">
        <v>153</v>
      </c>
      <c r="C407" s="89" t="s">
        <v>444</v>
      </c>
      <c r="D407" s="223"/>
      <c r="E407" s="223"/>
      <c r="F407" s="223"/>
      <c r="G407" s="223" t="s">
        <v>201</v>
      </c>
      <c r="H407" s="89" t="s">
        <v>476</v>
      </c>
      <c r="J407" s="89"/>
    </row>
    <row r="408" spans="2:13" ht="12.75" hidden="1" outlineLevel="1">
      <c r="B408" s="91" t="s">
        <v>153</v>
      </c>
      <c r="C408" s="89" t="s">
        <v>446</v>
      </c>
      <c r="D408" s="223" t="s">
        <v>201</v>
      </c>
      <c r="E408" s="223" t="s">
        <v>201</v>
      </c>
      <c r="F408" s="223" t="s">
        <v>201</v>
      </c>
      <c r="G408" s="223"/>
      <c r="H408" s="96"/>
      <c r="I408" s="96"/>
      <c r="J408" s="96"/>
      <c r="K408" s="96"/>
      <c r="L408" s="96"/>
      <c r="M408" s="96"/>
    </row>
    <row r="409" spans="2:13" ht="12.75" hidden="1" outlineLevel="1">
      <c r="B409" s="91" t="s">
        <v>139</v>
      </c>
      <c r="C409" s="89" t="s">
        <v>551</v>
      </c>
      <c r="D409" s="223" t="s">
        <v>201</v>
      </c>
      <c r="E409" s="223"/>
      <c r="F409" s="223"/>
      <c r="G409" s="223" t="s">
        <v>201</v>
      </c>
      <c r="H409" s="96" t="s">
        <v>477</v>
      </c>
      <c r="I409" s="96"/>
      <c r="J409" s="97"/>
      <c r="K409" s="97"/>
      <c r="L409" s="96"/>
      <c r="M409" s="96"/>
    </row>
    <row r="410" spans="2:13" ht="12.75" hidden="1" outlineLevel="1">
      <c r="B410" s="91" t="s">
        <v>148</v>
      </c>
      <c r="C410" s="89" t="s">
        <v>552</v>
      </c>
      <c r="D410" s="223"/>
      <c r="E410" s="223"/>
      <c r="F410" s="223" t="s">
        <v>201</v>
      </c>
      <c r="G410" s="223"/>
      <c r="H410" s="96" t="s">
        <v>478</v>
      </c>
      <c r="I410" s="98"/>
      <c r="J410" s="99"/>
      <c r="K410" s="99"/>
      <c r="L410" s="96"/>
      <c r="M410" s="96"/>
    </row>
    <row r="411" spans="2:13" ht="12.75" hidden="1" outlineLevel="1">
      <c r="B411" s="91" t="s">
        <v>154</v>
      </c>
      <c r="C411" s="89" t="s">
        <v>352</v>
      </c>
      <c r="D411" s="223"/>
      <c r="E411" s="223" t="s">
        <v>201</v>
      </c>
      <c r="F411" s="223" t="s">
        <v>201</v>
      </c>
      <c r="G411" s="223"/>
      <c r="H411" s="96" t="s">
        <v>479</v>
      </c>
      <c r="I411" s="98"/>
      <c r="J411" s="99"/>
      <c r="K411" s="99"/>
      <c r="L411" s="96"/>
      <c r="M411" s="96"/>
    </row>
    <row r="412" spans="2:13" ht="12.75" hidden="1" outlineLevel="1">
      <c r="B412" s="91" t="s">
        <v>154</v>
      </c>
      <c r="C412" s="89" t="s">
        <v>342</v>
      </c>
      <c r="D412" s="223" t="s">
        <v>201</v>
      </c>
      <c r="E412" s="223" t="s">
        <v>201</v>
      </c>
      <c r="F412" s="223" t="s">
        <v>201</v>
      </c>
      <c r="G412" s="223"/>
      <c r="H412" s="96"/>
      <c r="I412" s="98"/>
      <c r="J412" s="99"/>
      <c r="K412" s="99"/>
      <c r="L412" s="96"/>
      <c r="M412" s="96"/>
    </row>
    <row r="413" spans="2:13" ht="12.75" hidden="1" outlineLevel="1">
      <c r="B413" s="91" t="s">
        <v>336</v>
      </c>
      <c r="C413" s="89" t="s">
        <v>281</v>
      </c>
      <c r="D413" s="223"/>
      <c r="E413" s="223"/>
      <c r="F413" s="223"/>
      <c r="G413" s="223" t="s">
        <v>201</v>
      </c>
      <c r="H413" s="96"/>
      <c r="I413" s="98"/>
      <c r="J413" s="99"/>
      <c r="K413" s="99"/>
      <c r="L413" s="96"/>
      <c r="M413" s="96"/>
    </row>
    <row r="414" spans="2:10" ht="12.75" hidden="1" outlineLevel="1">
      <c r="B414" s="91" t="s">
        <v>334</v>
      </c>
      <c r="C414" s="89" t="s">
        <v>350</v>
      </c>
      <c r="D414" s="223"/>
      <c r="E414" s="223"/>
      <c r="F414" s="223"/>
      <c r="G414" s="223"/>
      <c r="H414" s="89" t="s">
        <v>366</v>
      </c>
      <c r="J414" s="89"/>
    </row>
    <row r="415" spans="2:10" ht="12.75" hidden="1" outlineLevel="1">
      <c r="B415" s="91" t="s">
        <v>145</v>
      </c>
      <c r="C415" s="89" t="s">
        <v>439</v>
      </c>
      <c r="D415" s="223" t="s">
        <v>201</v>
      </c>
      <c r="E415" s="223"/>
      <c r="F415" s="223"/>
      <c r="G415" s="223"/>
      <c r="H415" s="89"/>
      <c r="J415" s="89"/>
    </row>
    <row r="416" spans="2:10" ht="12.75" hidden="1" outlineLevel="1">
      <c r="B416" s="91" t="s">
        <v>335</v>
      </c>
      <c r="C416" s="89" t="s">
        <v>283</v>
      </c>
      <c r="D416" s="223" t="s">
        <v>201</v>
      </c>
      <c r="E416" s="223" t="s">
        <v>201</v>
      </c>
      <c r="F416" s="223" t="s">
        <v>201</v>
      </c>
      <c r="G416" s="223"/>
      <c r="H416" s="89"/>
      <c r="J416" s="89"/>
    </row>
    <row r="417" spans="2:10" ht="12.75" hidden="1" outlineLevel="1">
      <c r="B417" s="91" t="s">
        <v>152</v>
      </c>
      <c r="C417" s="89" t="s">
        <v>408</v>
      </c>
      <c r="D417" s="223"/>
      <c r="E417" s="223" t="s">
        <v>201</v>
      </c>
      <c r="F417" s="223"/>
      <c r="G417" s="223"/>
      <c r="H417" s="89"/>
      <c r="J417" s="89"/>
    </row>
    <row r="418" spans="2:10" ht="12.75" hidden="1" outlineLevel="1">
      <c r="B418" s="91" t="s">
        <v>149</v>
      </c>
      <c r="C418" s="89" t="s">
        <v>277</v>
      </c>
      <c r="D418" s="223" t="s">
        <v>201</v>
      </c>
      <c r="E418" s="223"/>
      <c r="F418" s="223" t="s">
        <v>201</v>
      </c>
      <c r="G418" s="223"/>
      <c r="H418" s="89"/>
      <c r="J418" s="89"/>
    </row>
    <row r="419" spans="2:10" ht="12.75" hidden="1" outlineLevel="1">
      <c r="B419" s="91" t="s">
        <v>150</v>
      </c>
      <c r="C419" s="89" t="s">
        <v>278</v>
      </c>
      <c r="D419" s="223"/>
      <c r="E419" s="223" t="s">
        <v>201</v>
      </c>
      <c r="F419" s="223"/>
      <c r="G419" s="223"/>
      <c r="H419" s="89" t="s">
        <v>309</v>
      </c>
      <c r="J419" s="89"/>
    </row>
    <row r="420" spans="2:10" ht="12.75" hidden="1" outlineLevel="1">
      <c r="B420" s="91" t="s">
        <v>155</v>
      </c>
      <c r="C420" s="89" t="s">
        <v>351</v>
      </c>
      <c r="D420" s="223" t="s">
        <v>201</v>
      </c>
      <c r="E420" s="223" t="s">
        <v>201</v>
      </c>
      <c r="F420" s="223" t="s">
        <v>201</v>
      </c>
      <c r="G420" s="223"/>
      <c r="H420" s="89"/>
      <c r="J420" s="89"/>
    </row>
    <row r="421" spans="2:10" ht="12.75" hidden="1" outlineLevel="1">
      <c r="B421" s="91" t="s">
        <v>155</v>
      </c>
      <c r="C421" s="89" t="s">
        <v>279</v>
      </c>
      <c r="D421" s="223" t="s">
        <v>201</v>
      </c>
      <c r="E421" s="223"/>
      <c r="F421" s="223" t="s">
        <v>201</v>
      </c>
      <c r="G421" s="223"/>
      <c r="H421" s="89"/>
      <c r="J421" s="89"/>
    </row>
    <row r="422" spans="2:10" ht="12.75" hidden="1" outlineLevel="1">
      <c r="B422" s="91" t="s">
        <v>147</v>
      </c>
      <c r="C422" s="89" t="s">
        <v>353</v>
      </c>
      <c r="D422" s="223" t="s">
        <v>201</v>
      </c>
      <c r="E422" s="223"/>
      <c r="F422" s="223"/>
      <c r="G422" s="223"/>
      <c r="H422" s="89"/>
      <c r="J422" s="89"/>
    </row>
    <row r="423" spans="2:10" ht="12.75" hidden="1" outlineLevel="1">
      <c r="B423" s="91" t="s">
        <v>151</v>
      </c>
      <c r="C423" s="89" t="s">
        <v>282</v>
      </c>
      <c r="D423" s="223" t="s">
        <v>201</v>
      </c>
      <c r="E423" s="223" t="s">
        <v>201</v>
      </c>
      <c r="F423" s="223" t="s">
        <v>201</v>
      </c>
      <c r="G423" s="223"/>
      <c r="H423" s="89" t="s">
        <v>480</v>
      </c>
      <c r="J423" s="89"/>
    </row>
    <row r="424" spans="2:10" ht="12.75" hidden="1" outlineLevel="1">
      <c r="B424" s="91" t="s">
        <v>337</v>
      </c>
      <c r="C424" s="89" t="s">
        <v>553</v>
      </c>
      <c r="D424" s="223" t="s">
        <v>201</v>
      </c>
      <c r="E424" s="223" t="s">
        <v>201</v>
      </c>
      <c r="F424" s="223" t="s">
        <v>201</v>
      </c>
      <c r="G424" s="223"/>
      <c r="H424" s="89"/>
      <c r="J424" s="89"/>
    </row>
    <row r="425" spans="2:10" ht="12.75" hidden="1" outlineLevel="1">
      <c r="B425" s="91" t="s">
        <v>156</v>
      </c>
      <c r="C425" s="89" t="s">
        <v>288</v>
      </c>
      <c r="D425" s="223" t="s">
        <v>201</v>
      </c>
      <c r="E425" s="223" t="s">
        <v>201</v>
      </c>
      <c r="F425" s="223" t="s">
        <v>201</v>
      </c>
      <c r="G425" s="223"/>
      <c r="H425" s="89"/>
      <c r="J425" s="89"/>
    </row>
    <row r="426" spans="2:14" ht="12.75" collapsed="1">
      <c r="B426" s="91"/>
      <c r="D426" s="89"/>
      <c r="E426" s="89"/>
      <c r="F426" s="89"/>
      <c r="G426" s="89"/>
      <c r="H426" s="96"/>
      <c r="I426" s="96"/>
      <c r="J426" s="96"/>
      <c r="K426" s="96"/>
      <c r="L426" s="96"/>
      <c r="M426" s="96"/>
      <c r="N426" s="96"/>
    </row>
    <row r="427" spans="1:14" ht="12.75">
      <c r="A427" s="107"/>
      <c r="B427" s="107" t="str">
        <f>CONCATENATE(D395," = ",COUNTA(D396:D425),TEXT((COUNTIF(D396:D425,"x")/ROWS(D396:D425)),"   (#%)"))</f>
        <v>Budget Size = 19   (63%)</v>
      </c>
      <c r="C427" s="107"/>
      <c r="H427" s="96"/>
      <c r="I427" s="96"/>
      <c r="J427" s="96"/>
      <c r="K427" s="97"/>
      <c r="L427" s="97"/>
      <c r="M427" s="96"/>
      <c r="N427" s="96"/>
    </row>
    <row r="428" spans="1:14" ht="12.75">
      <c r="A428" s="107"/>
      <c r="B428" s="107" t="str">
        <f>CONCATENATE(E395," = ",COUNTA(E396:E425),TEXT((COUNTIF(E396:E425,"x")/ROWS(E396:E425)),"   (#%)"))</f>
        <v>Indiv vs Org = 20   (67%)</v>
      </c>
      <c r="C428" s="107"/>
      <c r="H428" s="96"/>
      <c r="I428" s="96"/>
      <c r="J428" s="98"/>
      <c r="K428" s="99"/>
      <c r="L428" s="99"/>
      <c r="M428" s="96"/>
      <c r="N428" s="96"/>
    </row>
    <row r="429" spans="1:14" ht="12.75">
      <c r="A429" s="107"/>
      <c r="B429" s="107" t="str">
        <f>CONCATENATE(F395," = ",COUNTA(F396:F425),TEXT((COUNTIF(F396:F425,"x")/ROWS(F396:F425)),"   (#%)"))</f>
        <v>Org Type = 19   (63%)</v>
      </c>
      <c r="C429" s="107"/>
      <c r="H429" s="96"/>
      <c r="I429" s="96"/>
      <c r="J429" s="98"/>
      <c r="K429" s="99"/>
      <c r="L429" s="99"/>
      <c r="M429" s="96"/>
      <c r="N429" s="96"/>
    </row>
    <row r="430" spans="1:14" ht="12.75">
      <c r="A430" s="107"/>
      <c r="B430" s="107" t="str">
        <f>CONCATENATE(G395," = ",COUNTA(G396:G425),TEXT((COUNTIF(G396:G425,"x")/ROWS(G396:G425)),"   (#%)"))</f>
        <v>Flat Fee = 5   (17%)</v>
      </c>
      <c r="C430" s="107"/>
      <c r="H430" s="96"/>
      <c r="I430" s="96"/>
      <c r="J430" s="98"/>
      <c r="K430" s="99"/>
      <c r="L430" s="99"/>
      <c r="M430" s="96"/>
      <c r="N430" s="96"/>
    </row>
    <row r="431" spans="1:14" ht="12.75">
      <c r="A431" s="107"/>
      <c r="B431" s="107"/>
      <c r="C431" s="107"/>
      <c r="H431" s="96"/>
      <c r="I431" s="96"/>
      <c r="J431" s="98"/>
      <c r="K431" s="99"/>
      <c r="L431" s="99"/>
      <c r="M431" s="96"/>
      <c r="N431" s="96"/>
    </row>
    <row r="432" spans="1:3" ht="12.75">
      <c r="A432" s="107"/>
      <c r="B432" s="107"/>
      <c r="C432" s="139" t="s">
        <v>1323</v>
      </c>
    </row>
    <row r="433" ht="12.75">
      <c r="C433" s="90" t="s">
        <v>1689</v>
      </c>
    </row>
    <row r="434" ht="12.75">
      <c r="C434" s="90" t="s">
        <v>1690</v>
      </c>
    </row>
    <row r="435" ht="12.75">
      <c r="C435" s="90" t="s">
        <v>1691</v>
      </c>
    </row>
    <row r="436" spans="3:13" ht="12.75" hidden="1" outlineLevel="1">
      <c r="C436" s="162"/>
      <c r="G436" s="96"/>
      <c r="H436" s="96"/>
      <c r="I436" s="96"/>
      <c r="J436" s="96"/>
      <c r="K436" s="96"/>
      <c r="L436" s="96"/>
      <c r="M436" s="96"/>
    </row>
    <row r="437" spans="3:13" ht="12.75" hidden="1" outlineLevel="1">
      <c r="C437" s="106">
        <v>2011</v>
      </c>
      <c r="D437" s="106">
        <v>2014</v>
      </c>
      <c r="E437" s="106" t="s">
        <v>1322</v>
      </c>
      <c r="F437" s="101"/>
      <c r="G437" s="96"/>
      <c r="H437" s="96" t="s">
        <v>1508</v>
      </c>
      <c r="I437" s="96" t="s">
        <v>1511</v>
      </c>
      <c r="J437" s="97">
        <v>20.11</v>
      </c>
      <c r="K437" s="97">
        <v>20.14</v>
      </c>
      <c r="L437" s="96" t="s">
        <v>1570</v>
      </c>
      <c r="M437" s="96" t="s">
        <v>1571</v>
      </c>
    </row>
    <row r="438" spans="3:13" ht="12.75" hidden="1" outlineLevel="1">
      <c r="C438" s="147" t="s">
        <v>1602</v>
      </c>
      <c r="D438" s="147" t="s">
        <v>1650</v>
      </c>
      <c r="E438" s="189">
        <f>K438-J438</f>
        <v>-0.13703703703703707</v>
      </c>
      <c r="G438" s="96" t="s">
        <v>1600</v>
      </c>
      <c r="H438" s="96">
        <v>19</v>
      </c>
      <c r="I438" s="98">
        <v>17</v>
      </c>
      <c r="J438" s="99">
        <f>H438/$L$438</f>
        <v>0.7037037037037037</v>
      </c>
      <c r="K438" s="99">
        <f>I438/$M$438</f>
        <v>0.5666666666666667</v>
      </c>
      <c r="L438" s="96">
        <v>27</v>
      </c>
      <c r="M438" s="96">
        <v>30</v>
      </c>
    </row>
    <row r="439" spans="3:13" ht="12.75" hidden="1" outlineLevel="1">
      <c r="C439" s="147" t="s">
        <v>1603</v>
      </c>
      <c r="D439" s="147" t="s">
        <v>1651</v>
      </c>
      <c r="E439" s="189">
        <f>K439-J439</f>
        <v>0.07407407407407407</v>
      </c>
      <c r="G439" s="96" t="s">
        <v>1601</v>
      </c>
      <c r="H439" s="96">
        <v>16</v>
      </c>
      <c r="I439" s="98">
        <v>20</v>
      </c>
      <c r="J439" s="99">
        <f>H439/$L$438</f>
        <v>0.5925925925925926</v>
      </c>
      <c r="K439" s="99">
        <f>I439/$M$438</f>
        <v>0.6666666666666666</v>
      </c>
      <c r="L439" s="96"/>
      <c r="M439" s="96"/>
    </row>
    <row r="440" spans="3:13" ht="12.75" hidden="1" outlineLevel="1">
      <c r="C440" s="147" t="s">
        <v>1604</v>
      </c>
      <c r="D440" s="147" t="s">
        <v>1538</v>
      </c>
      <c r="E440" s="189">
        <f>K440-J440</f>
        <v>-0.14074074074074072</v>
      </c>
      <c r="G440" s="96" t="s">
        <v>206</v>
      </c>
      <c r="H440" s="96">
        <v>20</v>
      </c>
      <c r="I440" s="98">
        <v>18</v>
      </c>
      <c r="J440" s="99">
        <f>H440/$L$438</f>
        <v>0.7407407407407407</v>
      </c>
      <c r="K440" s="99">
        <f>I440/$M$438</f>
        <v>0.6</v>
      </c>
      <c r="L440" s="96"/>
      <c r="M440" s="96"/>
    </row>
    <row r="441" spans="3:13" ht="12.75" hidden="1" outlineLevel="1">
      <c r="C441" s="147" t="s">
        <v>1517</v>
      </c>
      <c r="D441" s="147" t="s">
        <v>1539</v>
      </c>
      <c r="E441" s="189" t="s">
        <v>1083</v>
      </c>
      <c r="G441" s="96" t="s">
        <v>365</v>
      </c>
      <c r="H441" s="96" t="s">
        <v>1083</v>
      </c>
      <c r="I441" s="98">
        <v>6</v>
      </c>
      <c r="J441" s="99" t="e">
        <f>H441/$L$305</f>
        <v>#VALUE!</v>
      </c>
      <c r="K441" s="99">
        <f>I441/$M$438</f>
        <v>0.2</v>
      </c>
      <c r="L441" s="96"/>
      <c r="M441" s="96"/>
    </row>
    <row r="442" spans="11:12" ht="12.75" collapsed="1">
      <c r="K442" s="178"/>
      <c r="L442" s="178"/>
    </row>
    <row r="443" spans="1:12" s="119" customFormat="1" ht="15">
      <c r="A443" s="117">
        <v>7</v>
      </c>
      <c r="B443" s="119" t="s">
        <v>14</v>
      </c>
      <c r="K443" s="188"/>
      <c r="L443" s="188"/>
    </row>
    <row r="444" spans="2:4" ht="12.75" customHeight="1" hidden="1" outlineLevel="1">
      <c r="B444" s="91" t="s">
        <v>148</v>
      </c>
      <c r="C444" s="90" t="s">
        <v>552</v>
      </c>
      <c r="D444" s="179">
        <v>5000</v>
      </c>
    </row>
    <row r="445" spans="2:4" ht="12.75" customHeight="1" hidden="1" outlineLevel="1">
      <c r="B445" s="91" t="s">
        <v>150</v>
      </c>
      <c r="C445" s="90" t="s">
        <v>278</v>
      </c>
      <c r="D445" s="179">
        <v>4500</v>
      </c>
    </row>
    <row r="446" spans="2:4" ht="12.75" customHeight="1" hidden="1" outlineLevel="1">
      <c r="B446" s="91" t="s">
        <v>142</v>
      </c>
      <c r="C446" s="90" t="s">
        <v>343</v>
      </c>
      <c r="D446" s="179">
        <v>3000</v>
      </c>
    </row>
    <row r="447" spans="2:4" ht="12.75" customHeight="1" hidden="1" outlineLevel="1">
      <c r="B447" s="91" t="s">
        <v>152</v>
      </c>
      <c r="C447" s="90" t="s">
        <v>408</v>
      </c>
      <c r="D447" s="179">
        <v>2000</v>
      </c>
    </row>
    <row r="448" spans="2:4" ht="12.75" customHeight="1" hidden="1" outlineLevel="1">
      <c r="B448" s="91" t="s">
        <v>332</v>
      </c>
      <c r="C448" s="90" t="s">
        <v>286</v>
      </c>
      <c r="D448" s="179">
        <v>1550</v>
      </c>
    </row>
    <row r="449" spans="2:4" ht="12.75" customHeight="1" hidden="1" outlineLevel="1">
      <c r="B449" s="91" t="s">
        <v>155</v>
      </c>
      <c r="C449" s="90" t="s">
        <v>279</v>
      </c>
      <c r="D449" s="179">
        <v>1500</v>
      </c>
    </row>
    <row r="450" spans="2:4" ht="12.75" customHeight="1" hidden="1" outlineLevel="1">
      <c r="B450" s="91" t="s">
        <v>139</v>
      </c>
      <c r="C450" s="90" t="s">
        <v>551</v>
      </c>
      <c r="D450" s="179">
        <v>1250</v>
      </c>
    </row>
    <row r="451" spans="2:4" ht="12.75" customHeight="1" hidden="1" outlineLevel="1">
      <c r="B451" s="91" t="s">
        <v>153</v>
      </c>
      <c r="C451" s="90" t="s">
        <v>446</v>
      </c>
      <c r="D451" s="179">
        <v>1000</v>
      </c>
    </row>
    <row r="452" spans="2:4" ht="12.75" customHeight="1" hidden="1" outlineLevel="1">
      <c r="B452" s="91" t="s">
        <v>143</v>
      </c>
      <c r="C452" s="90" t="s">
        <v>437</v>
      </c>
      <c r="D452" s="179">
        <v>1000</v>
      </c>
    </row>
    <row r="453" spans="2:4" ht="12.75" customHeight="1" hidden="1" outlineLevel="1">
      <c r="B453" s="91" t="s">
        <v>156</v>
      </c>
      <c r="C453" s="90" t="s">
        <v>288</v>
      </c>
      <c r="D453" s="179">
        <v>900</v>
      </c>
    </row>
    <row r="454" spans="2:4" ht="12.75" customHeight="1" hidden="1" outlineLevel="1">
      <c r="B454" s="91" t="s">
        <v>147</v>
      </c>
      <c r="C454" s="90" t="s">
        <v>353</v>
      </c>
      <c r="D454" s="179">
        <v>800</v>
      </c>
    </row>
    <row r="455" spans="2:14" ht="12.75" customHeight="1" hidden="1" outlineLevel="1">
      <c r="B455" s="91" t="s">
        <v>332</v>
      </c>
      <c r="C455" s="90" t="s">
        <v>436</v>
      </c>
      <c r="D455" s="179">
        <v>750</v>
      </c>
      <c r="H455" s="96"/>
      <c r="I455" s="96"/>
      <c r="J455" s="96"/>
      <c r="K455" s="96"/>
      <c r="L455" s="96"/>
      <c r="M455" s="96"/>
      <c r="N455" s="96"/>
    </row>
    <row r="456" spans="2:14" ht="12.75" customHeight="1" hidden="1" outlineLevel="1">
      <c r="B456" s="91" t="s">
        <v>143</v>
      </c>
      <c r="C456" s="90" t="s">
        <v>287</v>
      </c>
      <c r="D456" s="179">
        <v>750</v>
      </c>
      <c r="H456" s="96"/>
      <c r="I456" s="96"/>
      <c r="J456" s="96"/>
      <c r="K456" s="97"/>
      <c r="L456" s="97"/>
      <c r="M456" s="96"/>
      <c r="N456" s="96"/>
    </row>
    <row r="457" spans="2:14" ht="12.75" customHeight="1" hidden="1" outlineLevel="1">
      <c r="B457" s="91" t="s">
        <v>151</v>
      </c>
      <c r="C457" s="90" t="s">
        <v>282</v>
      </c>
      <c r="D457" s="179">
        <v>750</v>
      </c>
      <c r="H457" s="96"/>
      <c r="I457" s="96"/>
      <c r="J457" s="98"/>
      <c r="K457" s="99"/>
      <c r="L457" s="99"/>
      <c r="M457" s="96"/>
      <c r="N457" s="96"/>
    </row>
    <row r="458" spans="2:14" ht="12.75" customHeight="1" hidden="1" outlineLevel="1">
      <c r="B458" s="91" t="s">
        <v>149</v>
      </c>
      <c r="C458" s="90" t="s">
        <v>277</v>
      </c>
      <c r="D458" s="179">
        <v>575</v>
      </c>
      <c r="H458" s="96"/>
      <c r="I458" s="96"/>
      <c r="J458" s="98"/>
      <c r="K458" s="99"/>
      <c r="L458" s="99"/>
      <c r="M458" s="96"/>
      <c r="N458" s="96"/>
    </row>
    <row r="459" spans="2:14" ht="12.75" customHeight="1" hidden="1" outlineLevel="1">
      <c r="B459" s="91" t="s">
        <v>335</v>
      </c>
      <c r="C459" s="90" t="s">
        <v>283</v>
      </c>
      <c r="D459" s="179">
        <v>550</v>
      </c>
      <c r="H459" s="96"/>
      <c r="I459" s="96"/>
      <c r="J459" s="98"/>
      <c r="K459" s="99"/>
      <c r="L459" s="99"/>
      <c r="M459" s="96"/>
      <c r="N459" s="96"/>
    </row>
    <row r="460" spans="2:14" ht="12.75" customHeight="1" hidden="1" outlineLevel="1">
      <c r="B460" s="91" t="s">
        <v>332</v>
      </c>
      <c r="C460" s="90" t="s">
        <v>554</v>
      </c>
      <c r="D460" s="179">
        <v>500</v>
      </c>
      <c r="H460" s="96"/>
      <c r="I460" s="96"/>
      <c r="J460" s="98"/>
      <c r="K460" s="99"/>
      <c r="L460" s="99"/>
      <c r="M460" s="96"/>
      <c r="N460" s="96"/>
    </row>
    <row r="461" spans="2:4" ht="12.75" customHeight="1" hidden="1" outlineLevel="1">
      <c r="B461" s="91" t="s">
        <v>146</v>
      </c>
      <c r="C461" s="90" t="s">
        <v>349</v>
      </c>
      <c r="D461" s="179">
        <v>500</v>
      </c>
    </row>
    <row r="462" spans="2:4" ht="12.75" customHeight="1" hidden="1" outlineLevel="1">
      <c r="B462" s="91" t="s">
        <v>146</v>
      </c>
      <c r="C462" s="90" t="s">
        <v>550</v>
      </c>
      <c r="D462" s="179">
        <v>500</v>
      </c>
    </row>
    <row r="463" spans="2:4" ht="12.75" customHeight="1" hidden="1" outlineLevel="1">
      <c r="B463" s="91" t="s">
        <v>144</v>
      </c>
      <c r="C463" s="90" t="s">
        <v>438</v>
      </c>
      <c r="D463" s="179">
        <v>500</v>
      </c>
    </row>
    <row r="464" spans="2:4" ht="12.75" customHeight="1" hidden="1" outlineLevel="1">
      <c r="B464" s="91" t="s">
        <v>154</v>
      </c>
      <c r="C464" s="90" t="s">
        <v>352</v>
      </c>
      <c r="D464" s="179">
        <v>500</v>
      </c>
    </row>
    <row r="465" spans="2:4" ht="12.75" customHeight="1" hidden="1" outlineLevel="1">
      <c r="B465" s="91" t="s">
        <v>154</v>
      </c>
      <c r="C465" s="90" t="s">
        <v>342</v>
      </c>
      <c r="D465" s="179">
        <v>500</v>
      </c>
    </row>
    <row r="466" spans="2:4" ht="12.75" customHeight="1" hidden="1" outlineLevel="1">
      <c r="B466" s="91" t="s">
        <v>145</v>
      </c>
      <c r="C466" s="90" t="s">
        <v>439</v>
      </c>
      <c r="D466" s="179">
        <v>500</v>
      </c>
    </row>
    <row r="467" spans="2:4" ht="12.75" customHeight="1" hidden="1" outlineLevel="1">
      <c r="B467" s="91" t="s">
        <v>155</v>
      </c>
      <c r="C467" s="90" t="s">
        <v>351</v>
      </c>
      <c r="D467" s="179">
        <v>500</v>
      </c>
    </row>
    <row r="468" spans="2:4" ht="12.75" customHeight="1" hidden="1" outlineLevel="1">
      <c r="B468" s="91" t="s">
        <v>337</v>
      </c>
      <c r="C468" s="90" t="s">
        <v>553</v>
      </c>
      <c r="D468" s="179">
        <v>500</v>
      </c>
    </row>
    <row r="469" spans="2:4" ht="12.75" customHeight="1" hidden="1" outlineLevel="1">
      <c r="B469" s="91" t="s">
        <v>141</v>
      </c>
      <c r="C469" s="90" t="s">
        <v>445</v>
      </c>
      <c r="D469" s="179">
        <v>250</v>
      </c>
    </row>
    <row r="470" spans="2:4" ht="12.75" customHeight="1" hidden="1" outlineLevel="1">
      <c r="B470" s="91" t="s">
        <v>336</v>
      </c>
      <c r="C470" s="90" t="s">
        <v>281</v>
      </c>
      <c r="D470" s="179">
        <v>250</v>
      </c>
    </row>
    <row r="471" spans="2:4" ht="12.75" customHeight="1" hidden="1" outlineLevel="1">
      <c r="B471" s="91" t="s">
        <v>153</v>
      </c>
      <c r="C471" s="90" t="s">
        <v>444</v>
      </c>
      <c r="D471" s="179">
        <v>200</v>
      </c>
    </row>
    <row r="472" spans="2:4" ht="12.75" customHeight="1" hidden="1" outlineLevel="1">
      <c r="B472" s="91" t="s">
        <v>140</v>
      </c>
      <c r="C472" s="90" t="s">
        <v>341</v>
      </c>
      <c r="D472" s="179">
        <v>100</v>
      </c>
    </row>
    <row r="473" spans="2:4" ht="12.75" customHeight="1" hidden="1" outlineLevel="1">
      <c r="B473" s="91" t="s">
        <v>334</v>
      </c>
      <c r="C473" s="90" t="s">
        <v>350</v>
      </c>
      <c r="D473" s="179">
        <v>0</v>
      </c>
    </row>
    <row r="474" ht="12.75" collapsed="1"/>
    <row r="475" spans="1:3" ht="12.75">
      <c r="A475" s="107"/>
      <c r="B475" s="107" t="str">
        <f>CONCATENATE("Average = ",INT(AVERAGE(D444:D473)))</f>
        <v>Average = 1039</v>
      </c>
      <c r="C475" s="107"/>
    </row>
    <row r="476" spans="1:3" ht="12.75">
      <c r="A476" s="107"/>
      <c r="B476" s="107" t="str">
        <f>CONCATENATE("Low = ",MIN(D444:D473))</f>
        <v>Low = 0</v>
      </c>
      <c r="C476" s="107"/>
    </row>
    <row r="477" spans="1:3" ht="12.75">
      <c r="A477" s="107"/>
      <c r="B477" s="107" t="str">
        <f>CONCATENATE("High = ",MAX(D444:D473))</f>
        <v>High = 5000</v>
      </c>
      <c r="C477" s="107"/>
    </row>
    <row r="478" spans="1:3" ht="12.75">
      <c r="A478" s="107"/>
      <c r="B478" s="107"/>
      <c r="C478" s="107"/>
    </row>
    <row r="479" spans="1:3" ht="12.75">
      <c r="A479" s="107"/>
      <c r="B479" s="107"/>
      <c r="C479" s="139" t="s">
        <v>1323</v>
      </c>
    </row>
    <row r="480" ht="12.75">
      <c r="C480" s="90" t="s">
        <v>1692</v>
      </c>
    </row>
    <row r="481" ht="12.75" hidden="1" outlineLevel="1">
      <c r="C481" s="162"/>
    </row>
    <row r="482" spans="3:12" ht="12.75" hidden="1" outlineLevel="1">
      <c r="C482" s="106">
        <v>2011</v>
      </c>
      <c r="D482" s="106">
        <v>2014</v>
      </c>
      <c r="E482" s="106" t="s">
        <v>1322</v>
      </c>
      <c r="F482" s="106"/>
      <c r="H482" s="96"/>
      <c r="I482" s="96" t="s">
        <v>1508</v>
      </c>
      <c r="J482" s="96" t="s">
        <v>1511</v>
      </c>
      <c r="K482" s="96"/>
      <c r="L482" s="96"/>
    </row>
    <row r="483" spans="3:12" ht="12.75" hidden="1" outlineLevel="1">
      <c r="C483" s="147" t="s">
        <v>1518</v>
      </c>
      <c r="D483" s="147" t="str">
        <f>B475</f>
        <v>Average = 1039</v>
      </c>
      <c r="E483" s="189">
        <f>(J483-I483)/I483</f>
        <v>0.18149882903981265</v>
      </c>
      <c r="F483" s="147"/>
      <c r="H483" s="96" t="s">
        <v>1510</v>
      </c>
      <c r="I483" s="96">
        <v>854</v>
      </c>
      <c r="J483" s="96">
        <v>1009</v>
      </c>
      <c r="K483" s="97"/>
      <c r="L483" s="97"/>
    </row>
    <row r="484" spans="3:12" ht="12.75" collapsed="1">
      <c r="C484" s="147"/>
      <c r="D484" s="147"/>
      <c r="E484" s="147"/>
      <c r="F484" s="147"/>
      <c r="H484" s="96"/>
      <c r="I484" s="96"/>
      <c r="J484" s="98"/>
      <c r="K484" s="99"/>
      <c r="L484" s="99"/>
    </row>
    <row r="485" spans="1:2" s="119" customFormat="1" ht="15">
      <c r="A485" s="117">
        <v>8</v>
      </c>
      <c r="B485" s="119" t="s">
        <v>15</v>
      </c>
    </row>
    <row r="486" spans="2:4" ht="12.75" hidden="1" outlineLevel="1">
      <c r="B486" s="91" t="s">
        <v>152</v>
      </c>
      <c r="C486" s="90" t="s">
        <v>408</v>
      </c>
      <c r="D486" s="180">
        <v>500</v>
      </c>
    </row>
    <row r="487" spans="2:4" ht="12.75" hidden="1" outlineLevel="1">
      <c r="B487" s="91" t="s">
        <v>147</v>
      </c>
      <c r="C487" s="90" t="s">
        <v>353</v>
      </c>
      <c r="D487" s="180">
        <v>400</v>
      </c>
    </row>
    <row r="488" spans="2:4" ht="12.75" hidden="1" outlineLevel="1">
      <c r="B488" s="91" t="s">
        <v>139</v>
      </c>
      <c r="C488" s="90" t="s">
        <v>551</v>
      </c>
      <c r="D488" s="180">
        <v>250</v>
      </c>
    </row>
    <row r="489" spans="2:4" ht="12.75" hidden="1" outlineLevel="1">
      <c r="B489" s="91" t="s">
        <v>336</v>
      </c>
      <c r="C489" s="90" t="s">
        <v>281</v>
      </c>
      <c r="D489" s="180">
        <v>250</v>
      </c>
    </row>
    <row r="490" spans="2:4" ht="12.75" hidden="1" outlineLevel="1">
      <c r="B490" s="91" t="s">
        <v>335</v>
      </c>
      <c r="C490" s="90" t="s">
        <v>283</v>
      </c>
      <c r="D490" s="180">
        <v>250</v>
      </c>
    </row>
    <row r="491" spans="2:4" ht="12.75" hidden="1" outlineLevel="1">
      <c r="B491" s="91" t="s">
        <v>153</v>
      </c>
      <c r="C491" s="90" t="s">
        <v>444</v>
      </c>
      <c r="D491" s="180">
        <v>200</v>
      </c>
    </row>
    <row r="492" spans="2:4" ht="12.75" hidden="1" outlineLevel="1">
      <c r="B492" s="91" t="s">
        <v>149</v>
      </c>
      <c r="C492" s="90" t="s">
        <v>277</v>
      </c>
      <c r="D492" s="180">
        <v>175</v>
      </c>
    </row>
    <row r="493" spans="2:4" ht="12.75" hidden="1" outlineLevel="1">
      <c r="B493" s="91" t="s">
        <v>140</v>
      </c>
      <c r="C493" s="90" t="s">
        <v>341</v>
      </c>
      <c r="D493" s="180">
        <v>100</v>
      </c>
    </row>
    <row r="494" spans="2:4" ht="12.75" hidden="1" outlineLevel="1">
      <c r="B494" s="91" t="s">
        <v>143</v>
      </c>
      <c r="C494" s="90" t="s">
        <v>287</v>
      </c>
      <c r="D494" s="180">
        <v>100</v>
      </c>
    </row>
    <row r="495" spans="2:4" ht="12.75" hidden="1" outlineLevel="1">
      <c r="B495" s="91" t="s">
        <v>144</v>
      </c>
      <c r="C495" s="90" t="s">
        <v>438</v>
      </c>
      <c r="D495" s="180">
        <v>100</v>
      </c>
    </row>
    <row r="496" spans="2:14" ht="12.75" hidden="1" outlineLevel="1">
      <c r="B496" s="91" t="s">
        <v>145</v>
      </c>
      <c r="C496" s="90" t="s">
        <v>439</v>
      </c>
      <c r="D496" s="180">
        <v>100</v>
      </c>
      <c r="H496" s="96"/>
      <c r="I496" s="96"/>
      <c r="J496" s="96"/>
      <c r="K496" s="96"/>
      <c r="L496" s="96"/>
      <c r="M496" s="96"/>
      <c r="N496" s="96"/>
    </row>
    <row r="497" spans="2:14" ht="12.75" hidden="1" outlineLevel="1">
      <c r="B497" s="91" t="s">
        <v>155</v>
      </c>
      <c r="C497" s="90" t="s">
        <v>279</v>
      </c>
      <c r="D497" s="180">
        <v>100</v>
      </c>
      <c r="H497" s="96"/>
      <c r="I497" s="96"/>
      <c r="J497" s="96"/>
      <c r="K497" s="97"/>
      <c r="L497" s="97"/>
      <c r="M497" s="96"/>
      <c r="N497" s="96"/>
    </row>
    <row r="498" spans="2:14" ht="12.75" hidden="1" outlineLevel="1">
      <c r="B498" s="91" t="s">
        <v>332</v>
      </c>
      <c r="C498" s="90" t="s">
        <v>554</v>
      </c>
      <c r="D498" s="180">
        <v>50</v>
      </c>
      <c r="H498" s="96"/>
      <c r="I498" s="96"/>
      <c r="J498" s="98"/>
      <c r="K498" s="99"/>
      <c r="L498" s="99"/>
      <c r="M498" s="96"/>
      <c r="N498" s="96"/>
    </row>
    <row r="499" spans="2:14" ht="12.75" hidden="1" outlineLevel="1">
      <c r="B499" s="91" t="s">
        <v>146</v>
      </c>
      <c r="C499" s="90" t="s">
        <v>349</v>
      </c>
      <c r="D499" s="180">
        <v>50</v>
      </c>
      <c r="H499" s="96"/>
      <c r="I499" s="96"/>
      <c r="J499" s="98"/>
      <c r="K499" s="99"/>
      <c r="L499" s="99"/>
      <c r="M499" s="96"/>
      <c r="N499" s="96"/>
    </row>
    <row r="500" spans="2:14" ht="12.75" hidden="1" outlineLevel="1">
      <c r="B500" s="91" t="s">
        <v>148</v>
      </c>
      <c r="C500" s="90" t="s">
        <v>552</v>
      </c>
      <c r="D500" s="180">
        <v>50</v>
      </c>
      <c r="H500" s="96"/>
      <c r="I500" s="96"/>
      <c r="J500" s="98"/>
      <c r="K500" s="99"/>
      <c r="L500" s="99"/>
      <c r="M500" s="96"/>
      <c r="N500" s="96"/>
    </row>
    <row r="501" spans="2:14" ht="12.75" hidden="1" outlineLevel="1">
      <c r="B501" s="91" t="s">
        <v>154</v>
      </c>
      <c r="C501" s="90" t="s">
        <v>342</v>
      </c>
      <c r="D501" s="180">
        <v>50</v>
      </c>
      <c r="H501" s="96"/>
      <c r="I501" s="96"/>
      <c r="J501" s="98"/>
      <c r="K501" s="99"/>
      <c r="L501" s="99"/>
      <c r="M501" s="96"/>
      <c r="N501" s="96"/>
    </row>
    <row r="502" spans="2:4" ht="12.75" hidden="1" outlineLevel="1">
      <c r="B502" s="91" t="s">
        <v>150</v>
      </c>
      <c r="C502" s="90" t="s">
        <v>278</v>
      </c>
      <c r="D502" s="180">
        <v>50</v>
      </c>
    </row>
    <row r="503" spans="2:4" ht="12.75" hidden="1" outlineLevel="1">
      <c r="B503" s="91" t="s">
        <v>151</v>
      </c>
      <c r="C503" s="90" t="s">
        <v>282</v>
      </c>
      <c r="D503" s="180">
        <v>50</v>
      </c>
    </row>
    <row r="504" spans="2:4" ht="12.75" hidden="1" outlineLevel="1">
      <c r="B504" s="91" t="s">
        <v>337</v>
      </c>
      <c r="C504" s="90" t="s">
        <v>553</v>
      </c>
      <c r="D504" s="180">
        <v>50</v>
      </c>
    </row>
    <row r="505" spans="2:4" ht="12.75" hidden="1" outlineLevel="1">
      <c r="B505" s="91" t="s">
        <v>156</v>
      </c>
      <c r="C505" s="90" t="s">
        <v>288</v>
      </c>
      <c r="D505" s="180">
        <v>50</v>
      </c>
    </row>
    <row r="506" spans="2:4" ht="12.75" hidden="1" outlineLevel="1">
      <c r="B506" s="91" t="s">
        <v>153</v>
      </c>
      <c r="C506" s="90" t="s">
        <v>446</v>
      </c>
      <c r="D506" s="180">
        <v>35</v>
      </c>
    </row>
    <row r="507" spans="2:4" ht="12.75" hidden="1" outlineLevel="1">
      <c r="B507" s="91" t="s">
        <v>332</v>
      </c>
      <c r="C507" s="90" t="s">
        <v>286</v>
      </c>
      <c r="D507" s="180">
        <v>25</v>
      </c>
    </row>
    <row r="508" spans="2:4" ht="12.75" hidden="1" outlineLevel="1">
      <c r="B508" s="91" t="s">
        <v>141</v>
      </c>
      <c r="C508" s="90" t="s">
        <v>445</v>
      </c>
      <c r="D508" s="180">
        <v>25</v>
      </c>
    </row>
    <row r="509" spans="2:4" ht="12.75" hidden="1" outlineLevel="1">
      <c r="B509" s="91" t="s">
        <v>146</v>
      </c>
      <c r="C509" s="90" t="s">
        <v>550</v>
      </c>
      <c r="D509" s="180">
        <v>25</v>
      </c>
    </row>
    <row r="510" spans="2:4" ht="12.75" hidden="1" outlineLevel="1">
      <c r="B510" s="91" t="s">
        <v>143</v>
      </c>
      <c r="C510" s="90" t="s">
        <v>437</v>
      </c>
      <c r="D510" s="180">
        <v>25</v>
      </c>
    </row>
    <row r="511" spans="2:4" ht="12.75" hidden="1" outlineLevel="1">
      <c r="B511" s="91" t="s">
        <v>332</v>
      </c>
      <c r="C511" s="90" t="s">
        <v>436</v>
      </c>
      <c r="D511" s="180">
        <v>20</v>
      </c>
    </row>
    <row r="512" spans="2:4" ht="12.75" hidden="1" outlineLevel="1">
      <c r="B512" s="91" t="s">
        <v>154</v>
      </c>
      <c r="C512" s="90" t="s">
        <v>352</v>
      </c>
      <c r="D512" s="180">
        <v>10</v>
      </c>
    </row>
    <row r="513" spans="2:4" ht="12.75" hidden="1" outlineLevel="1">
      <c r="B513" s="91" t="s">
        <v>142</v>
      </c>
      <c r="C513" s="90" t="s">
        <v>343</v>
      </c>
      <c r="D513" s="180">
        <v>5</v>
      </c>
    </row>
    <row r="514" spans="2:4" ht="12.75" hidden="1" outlineLevel="1">
      <c r="B514" s="91" t="s">
        <v>155</v>
      </c>
      <c r="C514" s="90" t="s">
        <v>351</v>
      </c>
      <c r="D514" s="180">
        <v>5</v>
      </c>
    </row>
    <row r="515" spans="2:4" ht="12.75" hidden="1" outlineLevel="1">
      <c r="B515" s="91" t="s">
        <v>334</v>
      </c>
      <c r="C515" s="90" t="s">
        <v>350</v>
      </c>
      <c r="D515" s="180">
        <v>0</v>
      </c>
    </row>
    <row r="516" ht="12.75" collapsed="1"/>
    <row r="517" spans="2:13" ht="12.75">
      <c r="B517" s="107" t="str">
        <f>CONCATENATE("Average = ",INT(AVERAGE(D486:D515)))</f>
        <v>Average = 103</v>
      </c>
      <c r="C517" s="107"/>
      <c r="G517" s="96"/>
      <c r="H517" s="96"/>
      <c r="I517" s="96"/>
      <c r="J517" s="96"/>
      <c r="K517" s="96"/>
      <c r="L517" s="96"/>
      <c r="M517" s="96"/>
    </row>
    <row r="518" spans="2:13" ht="12.75">
      <c r="B518" s="107" t="str">
        <f>CONCATENATE("Low = ",MIN(D486:D515))</f>
        <v>Low = 0</v>
      </c>
      <c r="C518" s="107"/>
      <c r="G518" s="96"/>
      <c r="H518" s="96"/>
      <c r="I518" s="96"/>
      <c r="J518" s="97"/>
      <c r="K518" s="97"/>
      <c r="L518" s="96"/>
      <c r="M518" s="96"/>
    </row>
    <row r="519" spans="2:13" ht="12.75">
      <c r="B519" s="107" t="str">
        <f>CONCATENATE("High = ",MAX(D486:D515))</f>
        <v>High = 500</v>
      </c>
      <c r="C519" s="107"/>
      <c r="G519" s="96"/>
      <c r="H519" s="96"/>
      <c r="I519" s="98"/>
      <c r="J519" s="99"/>
      <c r="K519" s="99"/>
      <c r="L519" s="96"/>
      <c r="M519" s="96"/>
    </row>
    <row r="520" spans="2:13" ht="12.75">
      <c r="B520" s="107"/>
      <c r="C520" s="107"/>
      <c r="G520" s="96"/>
      <c r="H520" s="96"/>
      <c r="I520" s="98"/>
      <c r="J520" s="99"/>
      <c r="K520" s="99"/>
      <c r="L520" s="96"/>
      <c r="M520" s="96"/>
    </row>
    <row r="521" spans="2:13" ht="12.75">
      <c r="B521" s="107"/>
      <c r="C521" s="139" t="s">
        <v>1323</v>
      </c>
      <c r="G521" s="96"/>
      <c r="H521" s="96"/>
      <c r="I521" s="98"/>
      <c r="J521" s="99"/>
      <c r="K521" s="99"/>
      <c r="L521" s="96"/>
      <c r="M521" s="96"/>
    </row>
    <row r="522" spans="3:13" ht="12.75">
      <c r="C522" s="90" t="s">
        <v>1693</v>
      </c>
      <c r="G522" s="96"/>
      <c r="H522" s="96"/>
      <c r="I522" s="98"/>
      <c r="J522" s="99"/>
      <c r="K522" s="99"/>
      <c r="L522" s="96"/>
      <c r="M522" s="96"/>
    </row>
    <row r="523" ht="12.75" hidden="1" outlineLevel="1">
      <c r="C523" s="162"/>
    </row>
    <row r="524" spans="3:10" ht="12.75" hidden="1" outlineLevel="1">
      <c r="C524" s="106">
        <v>2011</v>
      </c>
      <c r="D524" s="106">
        <v>2014</v>
      </c>
      <c r="E524" s="106" t="s">
        <v>1322</v>
      </c>
      <c r="F524" s="101"/>
      <c r="H524" s="96"/>
      <c r="I524" s="96" t="s">
        <v>1508</v>
      </c>
      <c r="J524" s="96" t="s">
        <v>1511</v>
      </c>
    </row>
    <row r="525" spans="3:10" ht="12.75" hidden="1" outlineLevel="1">
      <c r="C525" s="147" t="s">
        <v>1519</v>
      </c>
      <c r="D525" s="147" t="str">
        <f>B517</f>
        <v>Average = 103</v>
      </c>
      <c r="E525" s="189">
        <f>(J525-I525)/I525</f>
        <v>0.1839080459770115</v>
      </c>
      <c r="H525" s="96" t="s">
        <v>1510</v>
      </c>
      <c r="I525" s="96">
        <v>87</v>
      </c>
      <c r="J525" s="96">
        <v>103</v>
      </c>
    </row>
    <row r="526" ht="12.75" collapsed="1"/>
    <row r="527" spans="1:2" s="119" customFormat="1" ht="15">
      <c r="A527" s="117">
        <v>9</v>
      </c>
      <c r="B527" s="119" t="s">
        <v>16</v>
      </c>
    </row>
    <row r="528" spans="2:8" s="130" customFormat="1" ht="40.5" customHeight="1" hidden="1" outlineLevel="1">
      <c r="B528" s="228" t="s">
        <v>324</v>
      </c>
      <c r="C528" s="228" t="s">
        <v>189</v>
      </c>
      <c r="D528" s="229" t="s">
        <v>159</v>
      </c>
      <c r="E528" s="229" t="s">
        <v>484</v>
      </c>
      <c r="F528" s="229" t="s">
        <v>1711</v>
      </c>
      <c r="G528" s="229" t="s">
        <v>3</v>
      </c>
      <c r="H528" s="230" t="s">
        <v>200</v>
      </c>
    </row>
    <row r="529" spans="2:8" ht="12.75" customHeight="1" hidden="1" outlineLevel="1">
      <c r="B529" s="91" t="s">
        <v>140</v>
      </c>
      <c r="C529" s="90" t="s">
        <v>341</v>
      </c>
      <c r="D529" s="223" t="s">
        <v>201</v>
      </c>
      <c r="E529" s="227"/>
      <c r="F529" s="227"/>
      <c r="G529" s="223" t="s">
        <v>201</v>
      </c>
      <c r="H529" s="89" t="s">
        <v>485</v>
      </c>
    </row>
    <row r="530" spans="2:8" ht="12.75" customHeight="1" hidden="1" outlineLevel="1">
      <c r="B530" s="91" t="s">
        <v>332</v>
      </c>
      <c r="C530" s="90" t="s">
        <v>554</v>
      </c>
      <c r="D530" s="223"/>
      <c r="E530" s="227" t="s">
        <v>201</v>
      </c>
      <c r="F530" s="227"/>
      <c r="G530" s="223" t="s">
        <v>201</v>
      </c>
      <c r="H530" s="89"/>
    </row>
    <row r="531" spans="2:8" ht="12.75" customHeight="1" hidden="1" outlineLevel="1">
      <c r="B531" s="91" t="s">
        <v>332</v>
      </c>
      <c r="C531" s="90" t="s">
        <v>436</v>
      </c>
      <c r="D531" s="223" t="s">
        <v>201</v>
      </c>
      <c r="E531" s="227"/>
      <c r="F531" s="227" t="s">
        <v>201</v>
      </c>
      <c r="G531" s="223" t="s">
        <v>201</v>
      </c>
      <c r="H531" s="89" t="s">
        <v>486</v>
      </c>
    </row>
    <row r="532" spans="2:8" ht="12.75" customHeight="1" hidden="1" outlineLevel="1">
      <c r="B532" s="91" t="s">
        <v>332</v>
      </c>
      <c r="C532" s="90" t="s">
        <v>286</v>
      </c>
      <c r="D532" s="223" t="s">
        <v>201</v>
      </c>
      <c r="E532" s="227" t="s">
        <v>201</v>
      </c>
      <c r="F532" s="227" t="s">
        <v>201</v>
      </c>
      <c r="G532" s="223" t="s">
        <v>201</v>
      </c>
      <c r="H532" s="89" t="s">
        <v>487</v>
      </c>
    </row>
    <row r="533" spans="2:8" ht="12.75" customHeight="1" hidden="1" outlineLevel="1">
      <c r="B533" s="91" t="s">
        <v>141</v>
      </c>
      <c r="C533" s="90" t="s">
        <v>445</v>
      </c>
      <c r="D533" s="223" t="s">
        <v>201</v>
      </c>
      <c r="E533" s="227"/>
      <c r="F533" s="223" t="s">
        <v>201</v>
      </c>
      <c r="G533" s="223" t="s">
        <v>201</v>
      </c>
      <c r="H533" s="89"/>
    </row>
    <row r="534" spans="2:8" ht="12.75" customHeight="1" hidden="1" outlineLevel="1">
      <c r="B534" s="91" t="s">
        <v>146</v>
      </c>
      <c r="C534" s="90" t="s">
        <v>349</v>
      </c>
      <c r="D534" s="223" t="s">
        <v>201</v>
      </c>
      <c r="E534" s="227"/>
      <c r="F534" s="227"/>
      <c r="G534" s="223" t="s">
        <v>201</v>
      </c>
      <c r="H534" s="89" t="s">
        <v>488</v>
      </c>
    </row>
    <row r="535" spans="2:8" ht="12.75" customHeight="1" hidden="1" outlineLevel="1">
      <c r="B535" s="91" t="s">
        <v>146</v>
      </c>
      <c r="C535" s="90" t="s">
        <v>550</v>
      </c>
      <c r="D535" s="223" t="s">
        <v>201</v>
      </c>
      <c r="E535" s="227"/>
      <c r="F535" s="227"/>
      <c r="G535" s="223" t="s">
        <v>201</v>
      </c>
      <c r="H535" s="89" t="s">
        <v>489</v>
      </c>
    </row>
    <row r="536" spans="2:8" ht="12.75" customHeight="1" hidden="1" outlineLevel="1">
      <c r="B536" s="91" t="s">
        <v>142</v>
      </c>
      <c r="C536" s="90" t="s">
        <v>343</v>
      </c>
      <c r="D536" s="223" t="s">
        <v>201</v>
      </c>
      <c r="E536" s="227"/>
      <c r="F536" s="227" t="s">
        <v>201</v>
      </c>
      <c r="G536" s="223" t="s">
        <v>201</v>
      </c>
      <c r="H536" s="89"/>
    </row>
    <row r="537" spans="2:8" ht="12.75" customHeight="1" hidden="1" outlineLevel="1">
      <c r="B537" s="91" t="s">
        <v>143</v>
      </c>
      <c r="C537" s="90" t="s">
        <v>437</v>
      </c>
      <c r="D537" s="223" t="s">
        <v>201</v>
      </c>
      <c r="E537" s="227" t="s">
        <v>201</v>
      </c>
      <c r="F537" s="227" t="s">
        <v>201</v>
      </c>
      <c r="G537" s="223" t="s">
        <v>201</v>
      </c>
      <c r="H537" s="89"/>
    </row>
    <row r="538" spans="2:8" ht="12.75" customHeight="1" hidden="1" outlineLevel="1">
      <c r="B538" s="91" t="s">
        <v>143</v>
      </c>
      <c r="C538" s="90" t="s">
        <v>287</v>
      </c>
      <c r="D538" s="223" t="s">
        <v>201</v>
      </c>
      <c r="E538" s="227"/>
      <c r="F538" s="227"/>
      <c r="G538" s="223" t="s">
        <v>201</v>
      </c>
      <c r="H538" s="89"/>
    </row>
    <row r="539" spans="2:8" ht="12.75" customHeight="1" hidden="1" outlineLevel="1">
      <c r="B539" s="91" t="s">
        <v>144</v>
      </c>
      <c r="C539" s="90" t="s">
        <v>438</v>
      </c>
      <c r="D539" s="223" t="s">
        <v>201</v>
      </c>
      <c r="E539" s="227"/>
      <c r="F539" s="227"/>
      <c r="G539" s="223" t="s">
        <v>201</v>
      </c>
      <c r="H539" s="89"/>
    </row>
    <row r="540" spans="2:13" ht="12.75" customHeight="1" hidden="1" outlineLevel="1">
      <c r="B540" s="91" t="s">
        <v>153</v>
      </c>
      <c r="C540" s="90" t="s">
        <v>444</v>
      </c>
      <c r="D540" s="223" t="s">
        <v>201</v>
      </c>
      <c r="E540" s="227" t="s">
        <v>201</v>
      </c>
      <c r="F540" s="227"/>
      <c r="G540" s="223" t="s">
        <v>201</v>
      </c>
      <c r="H540" s="96"/>
      <c r="I540" s="96"/>
      <c r="J540" s="96"/>
      <c r="K540" s="96"/>
      <c r="L540" s="96"/>
      <c r="M540" s="96"/>
    </row>
    <row r="541" spans="2:13" ht="12.75" customHeight="1" hidden="1" outlineLevel="1">
      <c r="B541" s="91" t="s">
        <v>153</v>
      </c>
      <c r="C541" s="90" t="s">
        <v>446</v>
      </c>
      <c r="D541" s="223" t="s">
        <v>201</v>
      </c>
      <c r="E541" s="227"/>
      <c r="F541" s="227"/>
      <c r="G541" s="223" t="s">
        <v>201</v>
      </c>
      <c r="H541" s="89" t="s">
        <v>1612</v>
      </c>
      <c r="I541" s="96"/>
      <c r="J541" s="97"/>
      <c r="K541" s="97"/>
      <c r="L541" s="96"/>
      <c r="M541" s="96"/>
    </row>
    <row r="542" spans="2:13" ht="12.75" customHeight="1" hidden="1" outlineLevel="1">
      <c r="B542" s="91" t="s">
        <v>139</v>
      </c>
      <c r="C542" s="90" t="s">
        <v>551</v>
      </c>
      <c r="D542" s="227" t="s">
        <v>201</v>
      </c>
      <c r="E542" s="223" t="s">
        <v>201</v>
      </c>
      <c r="F542" s="227"/>
      <c r="G542" s="223" t="s">
        <v>201</v>
      </c>
      <c r="H542" s="96" t="s">
        <v>580</v>
      </c>
      <c r="I542" s="98"/>
      <c r="J542" s="99"/>
      <c r="K542" s="99"/>
      <c r="L542" s="96"/>
      <c r="M542" s="96"/>
    </row>
    <row r="543" spans="2:13" ht="12.75" customHeight="1" hidden="1" outlineLevel="1">
      <c r="B543" s="91" t="s">
        <v>148</v>
      </c>
      <c r="C543" s="90" t="s">
        <v>552</v>
      </c>
      <c r="D543" s="223" t="s">
        <v>201</v>
      </c>
      <c r="E543" s="227"/>
      <c r="F543" s="227"/>
      <c r="G543" s="223" t="s">
        <v>201</v>
      </c>
      <c r="H543" s="96" t="s">
        <v>490</v>
      </c>
      <c r="I543" s="98"/>
      <c r="J543" s="99"/>
      <c r="K543" s="99"/>
      <c r="L543" s="96"/>
      <c r="M543" s="96"/>
    </row>
    <row r="544" spans="2:13" ht="12.75" customHeight="1" hidden="1" outlineLevel="1">
      <c r="B544" s="91" t="s">
        <v>154</v>
      </c>
      <c r="C544" s="90" t="s">
        <v>352</v>
      </c>
      <c r="D544" s="223" t="s">
        <v>201</v>
      </c>
      <c r="E544" s="227"/>
      <c r="F544" s="227" t="s">
        <v>201</v>
      </c>
      <c r="G544" s="223" t="s">
        <v>201</v>
      </c>
      <c r="H544" s="96" t="s">
        <v>491</v>
      </c>
      <c r="I544" s="98"/>
      <c r="J544" s="99"/>
      <c r="K544" s="99"/>
      <c r="L544" s="96"/>
      <c r="M544" s="96"/>
    </row>
    <row r="545" spans="2:13" ht="12.75" customHeight="1" hidden="1" outlineLevel="1">
      <c r="B545" s="91" t="s">
        <v>154</v>
      </c>
      <c r="C545" s="90" t="s">
        <v>342</v>
      </c>
      <c r="D545" s="223" t="s">
        <v>201</v>
      </c>
      <c r="E545" s="223" t="s">
        <v>201</v>
      </c>
      <c r="F545" s="223" t="s">
        <v>201</v>
      </c>
      <c r="G545" s="223" t="s">
        <v>201</v>
      </c>
      <c r="H545" s="96" t="s">
        <v>578</v>
      </c>
      <c r="I545" s="98"/>
      <c r="J545" s="99"/>
      <c r="K545" s="99"/>
      <c r="L545" s="96"/>
      <c r="M545" s="96"/>
    </row>
    <row r="546" spans="2:8" ht="12.75" customHeight="1" hidden="1" outlineLevel="1">
      <c r="B546" s="91" t="s">
        <v>336</v>
      </c>
      <c r="C546" s="90" t="s">
        <v>281</v>
      </c>
      <c r="D546" s="223" t="s">
        <v>201</v>
      </c>
      <c r="E546" s="227" t="s">
        <v>201</v>
      </c>
      <c r="F546" s="227" t="s">
        <v>201</v>
      </c>
      <c r="G546" s="223" t="s">
        <v>201</v>
      </c>
      <c r="H546" s="89"/>
    </row>
    <row r="547" spans="2:8" ht="12.75" customHeight="1" hidden="1" outlineLevel="1">
      <c r="B547" s="91" t="s">
        <v>334</v>
      </c>
      <c r="C547" s="90" t="s">
        <v>350</v>
      </c>
      <c r="D547" s="223"/>
      <c r="E547" s="223"/>
      <c r="F547" s="223"/>
      <c r="G547" s="223" t="s">
        <v>201</v>
      </c>
      <c r="H547" s="89" t="s">
        <v>581</v>
      </c>
    </row>
    <row r="548" spans="2:8" ht="12.75" customHeight="1" hidden="1" outlineLevel="1">
      <c r="B548" s="91" t="s">
        <v>145</v>
      </c>
      <c r="C548" s="90" t="s">
        <v>439</v>
      </c>
      <c r="D548" s="223" t="s">
        <v>201</v>
      </c>
      <c r="E548" s="227" t="s">
        <v>201</v>
      </c>
      <c r="F548" s="227"/>
      <c r="G548" s="223" t="s">
        <v>201</v>
      </c>
      <c r="H548" s="89"/>
    </row>
    <row r="549" spans="2:8" ht="12.75" customHeight="1" hidden="1" outlineLevel="1">
      <c r="B549" s="91" t="s">
        <v>335</v>
      </c>
      <c r="C549" s="90" t="s">
        <v>283</v>
      </c>
      <c r="D549" s="223" t="s">
        <v>201</v>
      </c>
      <c r="E549" s="227" t="s">
        <v>201</v>
      </c>
      <c r="F549" s="227"/>
      <c r="G549" s="223" t="s">
        <v>201</v>
      </c>
      <c r="H549" s="89"/>
    </row>
    <row r="550" spans="2:8" ht="12.75" customHeight="1" hidden="1" outlineLevel="1">
      <c r="B550" s="91" t="s">
        <v>152</v>
      </c>
      <c r="C550" s="90" t="s">
        <v>408</v>
      </c>
      <c r="D550" s="223" t="s">
        <v>201</v>
      </c>
      <c r="E550" s="227"/>
      <c r="F550" s="227" t="s">
        <v>201</v>
      </c>
      <c r="G550" s="223" t="s">
        <v>201</v>
      </c>
      <c r="H550" s="89" t="s">
        <v>482</v>
      </c>
    </row>
    <row r="551" spans="2:8" ht="12.75" customHeight="1" hidden="1" outlineLevel="1">
      <c r="B551" s="91" t="s">
        <v>149</v>
      </c>
      <c r="C551" s="90" t="s">
        <v>277</v>
      </c>
      <c r="D551" s="227" t="s">
        <v>201</v>
      </c>
      <c r="E551" s="223"/>
      <c r="F551" s="227" t="s">
        <v>201</v>
      </c>
      <c r="G551" s="223" t="s">
        <v>201</v>
      </c>
      <c r="H551" s="89" t="s">
        <v>383</v>
      </c>
    </row>
    <row r="552" spans="2:8" ht="12.75" customHeight="1" hidden="1" outlineLevel="1">
      <c r="B552" s="91" t="s">
        <v>150</v>
      </c>
      <c r="C552" s="90" t="s">
        <v>278</v>
      </c>
      <c r="D552" s="223" t="s">
        <v>201</v>
      </c>
      <c r="E552" s="227" t="s">
        <v>201</v>
      </c>
      <c r="F552" s="227" t="s">
        <v>201</v>
      </c>
      <c r="G552" s="223" t="s">
        <v>201</v>
      </c>
      <c r="H552" s="89" t="s">
        <v>384</v>
      </c>
    </row>
    <row r="553" spans="2:8" ht="12.75" customHeight="1" hidden="1" outlineLevel="1">
      <c r="B553" s="91" t="s">
        <v>155</v>
      </c>
      <c r="C553" s="90" t="s">
        <v>351</v>
      </c>
      <c r="D553" s="223" t="s">
        <v>201</v>
      </c>
      <c r="E553" s="227" t="s">
        <v>201</v>
      </c>
      <c r="F553" s="227"/>
      <c r="G553" s="223" t="s">
        <v>201</v>
      </c>
      <c r="H553" s="89"/>
    </row>
    <row r="554" spans="2:8" ht="12.75" customHeight="1" hidden="1" outlineLevel="1">
      <c r="B554" s="91" t="s">
        <v>155</v>
      </c>
      <c r="C554" s="90" t="s">
        <v>279</v>
      </c>
      <c r="D554" s="223" t="s">
        <v>201</v>
      </c>
      <c r="E554" s="223" t="s">
        <v>201</v>
      </c>
      <c r="F554" s="223" t="s">
        <v>201</v>
      </c>
      <c r="G554" s="223" t="s">
        <v>201</v>
      </c>
      <c r="H554" s="89" t="s">
        <v>385</v>
      </c>
    </row>
    <row r="555" spans="2:8" ht="12.75" customHeight="1" hidden="1" outlineLevel="1">
      <c r="B555" s="91" t="s">
        <v>147</v>
      </c>
      <c r="C555" s="90" t="s">
        <v>353</v>
      </c>
      <c r="D555" s="223" t="s">
        <v>201</v>
      </c>
      <c r="E555" s="227"/>
      <c r="F555" s="227" t="s">
        <v>201</v>
      </c>
      <c r="G555" s="223" t="s">
        <v>201</v>
      </c>
      <c r="H555" s="89"/>
    </row>
    <row r="556" spans="2:8" ht="12.75" customHeight="1" hidden="1" outlineLevel="1">
      <c r="B556" s="91" t="s">
        <v>151</v>
      </c>
      <c r="C556" s="90" t="s">
        <v>282</v>
      </c>
      <c r="D556" s="223" t="s">
        <v>201</v>
      </c>
      <c r="E556" s="227" t="s">
        <v>201</v>
      </c>
      <c r="F556" s="227"/>
      <c r="G556" s="223" t="s">
        <v>201</v>
      </c>
      <c r="H556" s="89" t="s">
        <v>386</v>
      </c>
    </row>
    <row r="557" spans="2:8" ht="12.75" customHeight="1" hidden="1" outlineLevel="1">
      <c r="B557" s="91" t="s">
        <v>337</v>
      </c>
      <c r="C557" s="90" t="s">
        <v>553</v>
      </c>
      <c r="D557" s="223" t="s">
        <v>201</v>
      </c>
      <c r="E557" s="227"/>
      <c r="F557" s="227"/>
      <c r="G557" s="223" t="s">
        <v>201</v>
      </c>
      <c r="H557" s="89" t="s">
        <v>387</v>
      </c>
    </row>
    <row r="558" spans="2:8" ht="12.75" customHeight="1" hidden="1" outlineLevel="1">
      <c r="B558" s="91" t="s">
        <v>156</v>
      </c>
      <c r="C558" s="90" t="s">
        <v>288</v>
      </c>
      <c r="D558" s="223" t="s">
        <v>201</v>
      </c>
      <c r="E558" s="227"/>
      <c r="F558" s="227"/>
      <c r="G558" s="223" t="s">
        <v>201</v>
      </c>
      <c r="H558" s="89" t="s">
        <v>483</v>
      </c>
    </row>
    <row r="559" spans="2:8" ht="12.75" collapsed="1">
      <c r="B559" s="91"/>
      <c r="D559" s="100"/>
      <c r="E559" s="95"/>
      <c r="F559" s="95"/>
      <c r="G559" s="100"/>
      <c r="H559" s="89"/>
    </row>
    <row r="560" spans="1:2" ht="12.75">
      <c r="A560" s="107"/>
      <c r="B560" s="107" t="str">
        <f>CONCATENATE(D528," = ",COUNTA(D529:D558),TEXT((COUNTIF(D529:D558,"x")/ROWS(D529:D558)),"   (#%)"))</f>
        <v>Discounts = 28   (93%)</v>
      </c>
    </row>
    <row r="561" spans="1:2" ht="12.75">
      <c r="A561" s="107"/>
      <c r="B561" s="107" t="str">
        <f>CONCATENATE(E528," = ",COUNTA(E529:E558),TEXT((COUNTIF(E529:E558,"x")/ROWS(E529:E558)),"   (#%)"))</f>
        <v>Exclusive Access to Web Resources = 13   (43%)</v>
      </c>
    </row>
    <row r="562" spans="1:2" ht="12.75">
      <c r="A562" s="107"/>
      <c r="B562" s="107" t="str">
        <f>CONCATENATE(F528," = ",COUNTA(F529:F558),TEXT((COUNTIF(F529:F558,"x")/ROWS(F529:F558)),"   (#%)"))</f>
        <v>Goods or services members can provide to their members = 13   (43%)</v>
      </c>
    </row>
    <row r="563" spans="1:2" ht="12.75">
      <c r="A563" s="107"/>
      <c r="B563" s="107" t="str">
        <f>CONCATENATE(G528," = ",COUNTA(G529:G558),TEXT((COUNTIF(G529:G558,"x")/ROWS(G529:G558)),"   (#%)"))</f>
        <v>Training or    technical assitance = 30   (100%)</v>
      </c>
    </row>
    <row r="564" spans="1:2" ht="12.75">
      <c r="A564" s="107"/>
      <c r="B564" s="107"/>
    </row>
    <row r="565" spans="1:3" ht="12.75">
      <c r="A565" s="107"/>
      <c r="B565" s="107"/>
      <c r="C565" s="139" t="s">
        <v>1323</v>
      </c>
    </row>
    <row r="566" ht="12.75">
      <c r="C566" s="90" t="s">
        <v>1694</v>
      </c>
    </row>
    <row r="567" ht="12.75">
      <c r="C567" s="90" t="s">
        <v>1677</v>
      </c>
    </row>
    <row r="568" spans="3:13" ht="12.75" hidden="1" outlineLevel="1">
      <c r="C568" s="162"/>
      <c r="G568" s="96"/>
      <c r="H568" s="96"/>
      <c r="I568" s="96"/>
      <c r="J568" s="96"/>
      <c r="K568" s="96"/>
      <c r="L568" s="96"/>
      <c r="M568" s="96"/>
    </row>
    <row r="569" spans="3:13" ht="12.75" hidden="1" outlineLevel="1">
      <c r="C569" s="106">
        <v>2011</v>
      </c>
      <c r="D569" s="106">
        <v>2014</v>
      </c>
      <c r="E569" s="106" t="s">
        <v>1322</v>
      </c>
      <c r="F569" s="101"/>
      <c r="G569" s="96"/>
      <c r="H569" s="96" t="s">
        <v>1569</v>
      </c>
      <c r="I569" s="96" t="s">
        <v>1511</v>
      </c>
      <c r="J569" s="97">
        <v>20.11</v>
      </c>
      <c r="K569" s="97">
        <v>20.14</v>
      </c>
      <c r="L569" s="96" t="s">
        <v>1570</v>
      </c>
      <c r="M569" s="96" t="s">
        <v>1571</v>
      </c>
    </row>
    <row r="570" spans="3:13" ht="12.75" hidden="1" outlineLevel="1">
      <c r="C570" s="147" t="s">
        <v>1537</v>
      </c>
      <c r="D570" s="147" t="s">
        <v>1498</v>
      </c>
      <c r="E570" s="189">
        <f>K570-J570</f>
        <v>0.04444444444444451</v>
      </c>
      <c r="G570" s="96" t="s">
        <v>159</v>
      </c>
      <c r="H570" s="96">
        <v>24</v>
      </c>
      <c r="I570" s="98">
        <v>28</v>
      </c>
      <c r="J570" s="99">
        <f>H570/$L$570</f>
        <v>0.8888888888888888</v>
      </c>
      <c r="K570" s="99">
        <f>I570/$M$570</f>
        <v>0.9333333333333333</v>
      </c>
      <c r="L570" s="96">
        <v>27</v>
      </c>
      <c r="M570" s="96">
        <v>30</v>
      </c>
    </row>
    <row r="571" spans="3:13" ht="12.75" hidden="1" outlineLevel="1">
      <c r="C571" s="147" t="s">
        <v>1497</v>
      </c>
      <c r="D571" s="147" t="s">
        <v>1540</v>
      </c>
      <c r="E571" s="189">
        <f>K571-J571</f>
        <v>-0.0888888888888889</v>
      </c>
      <c r="G571" s="96" t="s">
        <v>1593</v>
      </c>
      <c r="H571" s="96">
        <v>15</v>
      </c>
      <c r="I571" s="98">
        <v>14</v>
      </c>
      <c r="J571" s="99">
        <f>H571/$L$570</f>
        <v>0.5555555555555556</v>
      </c>
      <c r="K571" s="99">
        <f>I571/$M$570</f>
        <v>0.4666666666666667</v>
      </c>
      <c r="L571" s="96"/>
      <c r="M571" s="96"/>
    </row>
    <row r="572" spans="3:13" ht="12.75" hidden="1" outlineLevel="1">
      <c r="C572" s="147" t="s">
        <v>1517</v>
      </c>
      <c r="D572" s="147" t="s">
        <v>1541</v>
      </c>
      <c r="E572" s="189" t="s">
        <v>1083</v>
      </c>
      <c r="G572" s="96"/>
      <c r="H572" s="96"/>
      <c r="I572" s="98">
        <v>13</v>
      </c>
      <c r="J572" s="99"/>
      <c r="K572" s="99">
        <f>I572/$M$570</f>
        <v>0.43333333333333335</v>
      </c>
      <c r="L572" s="96"/>
      <c r="M572" s="96"/>
    </row>
    <row r="573" spans="3:13" ht="12.75" hidden="1" outlineLevel="1">
      <c r="C573" s="147" t="s">
        <v>1517</v>
      </c>
      <c r="D573" s="147" t="s">
        <v>1542</v>
      </c>
      <c r="E573" s="189" t="s">
        <v>1083</v>
      </c>
      <c r="G573" s="96"/>
      <c r="H573" s="96"/>
      <c r="I573" s="98">
        <v>30</v>
      </c>
      <c r="J573" s="99"/>
      <c r="K573" s="99">
        <f>I573/$M$570</f>
        <v>1</v>
      </c>
      <c r="L573" s="96"/>
      <c r="M573" s="96"/>
    </row>
    <row r="574" ht="12.75" collapsed="1"/>
    <row r="575" ht="12.75"/>
    <row r="576" ht="12.75"/>
    <row r="577" ht="12.75"/>
    <row r="618" ht="12.75"/>
    <row r="619" ht="12.75"/>
    <row r="620" ht="12.75"/>
  </sheetData>
  <sheetProtection/>
  <mergeCells count="3">
    <mergeCell ref="E104:F104"/>
    <mergeCell ref="E118:F118"/>
    <mergeCell ref="E52:F52"/>
  </mergeCells>
  <printOptions/>
  <pageMargins left="0.7" right="0.7" top="0.75" bottom="0.75" header="0.3" footer="0.3"/>
  <pageSetup fitToHeight="0" fitToWidth="1" horizontalDpi="600" verticalDpi="600" orientation="portrait" scale="84"/>
  <headerFooter alignWithMargins="0">
    <oddFooter>&amp;C&amp;P</oddFooter>
  </headerFooter>
  <rowBreaks count="2" manualBreakCount="2">
    <brk id="55" max="255" man="1"/>
    <brk id="213" max="255" man="1"/>
  </rowBreaks>
  <drawing r:id="rId3"/>
  <legacyDrawing r:id="rId2"/>
</worksheet>
</file>

<file path=xl/worksheets/sheet6.xml><?xml version="1.0" encoding="utf-8"?>
<worksheet xmlns="http://schemas.openxmlformats.org/spreadsheetml/2006/main" xmlns:r="http://schemas.openxmlformats.org/officeDocument/2006/relationships">
  <dimension ref="A1:L98"/>
  <sheetViews>
    <sheetView zoomScalePageLayoutView="0" workbookViewId="0" topLeftCell="A61">
      <selection activeCell="B85" sqref="B85"/>
    </sheetView>
  </sheetViews>
  <sheetFormatPr defaultColWidth="8.8515625" defaultRowHeight="12.75"/>
  <cols>
    <col min="1" max="1" width="14.8515625" style="0" customWidth="1"/>
    <col min="2" max="2" width="18.00390625" style="0" customWidth="1"/>
    <col min="3" max="3" width="14.7109375" style="0" customWidth="1"/>
    <col min="4" max="4" width="12.7109375" style="0" bestFit="1" customWidth="1"/>
    <col min="5" max="5" width="8.8515625" style="0" customWidth="1"/>
    <col min="6" max="6" width="13.421875" style="0" customWidth="1"/>
    <col min="7" max="7" width="16.140625" style="0" customWidth="1"/>
    <col min="8" max="8" width="12.7109375" style="0" customWidth="1"/>
    <col min="9" max="9" width="11.140625" style="0" customWidth="1"/>
    <col min="10" max="10" width="19.140625" style="0" customWidth="1"/>
    <col min="11" max="11" width="17.7109375" style="0" customWidth="1"/>
    <col min="12" max="12" width="18.28125" style="0" customWidth="1"/>
  </cols>
  <sheetData>
    <row r="1" spans="1:11" ht="12.75">
      <c r="A1" s="279" t="s">
        <v>414</v>
      </c>
      <c r="B1" s="280"/>
      <c r="C1" s="280"/>
      <c r="F1" s="279" t="s">
        <v>415</v>
      </c>
      <c r="G1" s="280"/>
      <c r="H1" s="280"/>
      <c r="J1" s="279" t="s">
        <v>417</v>
      </c>
      <c r="K1" s="280"/>
    </row>
    <row r="2" ht="12.75">
      <c r="A2" s="11"/>
    </row>
    <row r="3" spans="1:12" ht="12.75">
      <c r="A3" s="11" t="s">
        <v>189</v>
      </c>
      <c r="B3" s="12" t="s">
        <v>137</v>
      </c>
      <c r="C3" s="11" t="s">
        <v>412</v>
      </c>
      <c r="F3" s="34" t="s">
        <v>189</v>
      </c>
      <c r="G3" s="11" t="s">
        <v>137</v>
      </c>
      <c r="H3" s="11" t="s">
        <v>412</v>
      </c>
      <c r="J3" s="34" t="s">
        <v>189</v>
      </c>
      <c r="K3" s="34" t="s">
        <v>137</v>
      </c>
      <c r="L3" s="34" t="s">
        <v>412</v>
      </c>
    </row>
    <row r="4" spans="1:12" ht="12.75">
      <c r="A4" s="11" t="s">
        <v>341</v>
      </c>
      <c r="B4" s="1">
        <v>0</v>
      </c>
      <c r="C4" s="11" t="s">
        <v>197</v>
      </c>
      <c r="F4" s="11" t="s">
        <v>341</v>
      </c>
      <c r="G4" s="24">
        <v>50</v>
      </c>
      <c r="H4" s="11" t="s">
        <v>413</v>
      </c>
      <c r="J4" s="12" t="s">
        <v>341</v>
      </c>
      <c r="K4" s="24">
        <v>50</v>
      </c>
      <c r="L4" s="30" t="s">
        <v>1631</v>
      </c>
    </row>
    <row r="5" spans="1:12" ht="12.75">
      <c r="A5" s="11" t="s">
        <v>554</v>
      </c>
      <c r="B5" s="27">
        <v>5</v>
      </c>
      <c r="C5" s="11" t="s">
        <v>197</v>
      </c>
      <c r="F5" s="11" t="s">
        <v>554</v>
      </c>
      <c r="G5" s="24">
        <v>150</v>
      </c>
      <c r="H5" s="11" t="s">
        <v>413</v>
      </c>
      <c r="J5" s="12" t="s">
        <v>554</v>
      </c>
      <c r="K5" s="24">
        <v>150</v>
      </c>
      <c r="L5" s="30" t="s">
        <v>1631</v>
      </c>
    </row>
    <row r="6" spans="1:12" ht="12.75">
      <c r="A6" s="11" t="s">
        <v>436</v>
      </c>
      <c r="B6" s="24">
        <v>233</v>
      </c>
      <c r="C6" s="11" t="s">
        <v>197</v>
      </c>
      <c r="F6" s="11" t="s">
        <v>436</v>
      </c>
      <c r="G6" s="27">
        <v>263</v>
      </c>
      <c r="H6" s="11" t="s">
        <v>413</v>
      </c>
      <c r="J6" s="12" t="s">
        <v>436</v>
      </c>
      <c r="K6" s="51">
        <v>66</v>
      </c>
      <c r="L6" s="30" t="s">
        <v>1631</v>
      </c>
    </row>
    <row r="7" spans="1:12" ht="12.75">
      <c r="A7" s="11" t="s">
        <v>286</v>
      </c>
      <c r="B7" s="1">
        <v>100</v>
      </c>
      <c r="C7" s="11" t="s">
        <v>197</v>
      </c>
      <c r="F7" s="11" t="s">
        <v>286</v>
      </c>
      <c r="G7" s="24">
        <v>240</v>
      </c>
      <c r="H7" s="11" t="s">
        <v>413</v>
      </c>
      <c r="J7" s="12" t="s">
        <v>286</v>
      </c>
      <c r="K7" s="24">
        <v>60</v>
      </c>
      <c r="L7" s="30" t="s">
        <v>1631</v>
      </c>
    </row>
    <row r="8" spans="1:12" ht="12.75">
      <c r="A8" s="11" t="s">
        <v>445</v>
      </c>
      <c r="B8" s="20">
        <v>30</v>
      </c>
      <c r="C8" s="11" t="s">
        <v>197</v>
      </c>
      <c r="F8" s="11" t="s">
        <v>445</v>
      </c>
      <c r="G8" s="25">
        <v>120</v>
      </c>
      <c r="H8" s="11" t="s">
        <v>413</v>
      </c>
      <c r="J8" s="12" t="s">
        <v>445</v>
      </c>
      <c r="K8" s="51">
        <v>60</v>
      </c>
      <c r="L8" s="30" t="s">
        <v>1631</v>
      </c>
    </row>
    <row r="9" spans="1:12" ht="12.75">
      <c r="A9" s="11" t="s">
        <v>349</v>
      </c>
      <c r="B9">
        <v>30</v>
      </c>
      <c r="C9" s="11" t="s">
        <v>197</v>
      </c>
      <c r="F9" s="11" t="s">
        <v>349</v>
      </c>
      <c r="G9" s="12">
        <v>75</v>
      </c>
      <c r="H9" s="11" t="s">
        <v>413</v>
      </c>
      <c r="J9" s="12" t="s">
        <v>349</v>
      </c>
      <c r="K9" s="78">
        <v>10</v>
      </c>
      <c r="L9" s="30" t="s">
        <v>1631</v>
      </c>
    </row>
    <row r="10" spans="1:12" ht="12.75">
      <c r="A10" s="11" t="s">
        <v>550</v>
      </c>
      <c r="B10" s="4">
        <v>50</v>
      </c>
      <c r="C10" s="11" t="s">
        <v>197</v>
      </c>
      <c r="F10" s="11" t="s">
        <v>550</v>
      </c>
      <c r="G10" s="24">
        <v>150</v>
      </c>
      <c r="H10" s="11" t="s">
        <v>413</v>
      </c>
      <c r="J10" s="12" t="s">
        <v>550</v>
      </c>
      <c r="K10" s="51">
        <v>290</v>
      </c>
      <c r="L10" s="30" t="s">
        <v>1631</v>
      </c>
    </row>
    <row r="11" spans="1:12" ht="12.75">
      <c r="A11" s="11" t="s">
        <v>343</v>
      </c>
      <c r="B11" s="1">
        <v>52</v>
      </c>
      <c r="C11" s="11" t="s">
        <v>197</v>
      </c>
      <c r="F11" s="11" t="s">
        <v>343</v>
      </c>
      <c r="G11" s="27">
        <v>158</v>
      </c>
      <c r="H11" s="11" t="s">
        <v>413</v>
      </c>
      <c r="J11" s="12" t="s">
        <v>343</v>
      </c>
      <c r="K11" s="51">
        <v>63</v>
      </c>
      <c r="L11" s="30" t="s">
        <v>1631</v>
      </c>
    </row>
    <row r="12" spans="1:12" ht="12.75">
      <c r="A12" s="11" t="s">
        <v>437</v>
      </c>
      <c r="B12" s="2">
        <v>5</v>
      </c>
      <c r="C12" s="11" t="s">
        <v>197</v>
      </c>
      <c r="F12" s="11" t="s">
        <v>437</v>
      </c>
      <c r="G12" s="24">
        <v>50</v>
      </c>
      <c r="H12" s="11" t="s">
        <v>413</v>
      </c>
      <c r="J12" s="12" t="s">
        <v>437</v>
      </c>
      <c r="K12" s="30">
        <v>45</v>
      </c>
      <c r="L12" s="30" t="s">
        <v>1631</v>
      </c>
    </row>
    <row r="13" spans="1:12" ht="12.75">
      <c r="A13" s="11" t="s">
        <v>287</v>
      </c>
      <c r="B13">
        <v>15</v>
      </c>
      <c r="C13" s="11" t="s">
        <v>197</v>
      </c>
      <c r="F13" s="11" t="s">
        <v>287</v>
      </c>
      <c r="G13" s="9">
        <v>35</v>
      </c>
      <c r="H13" s="11" t="s">
        <v>413</v>
      </c>
      <c r="J13" s="12" t="s">
        <v>287</v>
      </c>
      <c r="K13" s="24">
        <v>35</v>
      </c>
      <c r="L13" s="30" t="s">
        <v>1631</v>
      </c>
    </row>
    <row r="14" spans="1:12" ht="12.75">
      <c r="A14" s="11" t="s">
        <v>438</v>
      </c>
      <c r="B14" s="2">
        <v>1</v>
      </c>
      <c r="C14" s="11" t="s">
        <v>197</v>
      </c>
      <c r="F14" s="11" t="s">
        <v>438</v>
      </c>
      <c r="G14" s="24">
        <v>30</v>
      </c>
      <c r="H14" s="11" t="s">
        <v>413</v>
      </c>
      <c r="J14" s="12" t="s">
        <v>438</v>
      </c>
      <c r="K14" s="24">
        <v>15</v>
      </c>
      <c r="L14" s="30" t="s">
        <v>1631</v>
      </c>
    </row>
    <row r="15" spans="1:12" ht="12.75">
      <c r="A15" s="11" t="s">
        <v>444</v>
      </c>
      <c r="B15" s="2">
        <v>0</v>
      </c>
      <c r="C15" s="11" t="s">
        <v>197</v>
      </c>
      <c r="F15" s="11" t="s">
        <v>444</v>
      </c>
      <c r="G15" s="27">
        <v>40</v>
      </c>
      <c r="H15" s="11" t="s">
        <v>413</v>
      </c>
      <c r="J15" s="12" t="s">
        <v>444</v>
      </c>
      <c r="K15" s="50">
        <v>30</v>
      </c>
      <c r="L15" s="30" t="s">
        <v>1631</v>
      </c>
    </row>
    <row r="16" spans="1:12" ht="12.75">
      <c r="A16" s="11" t="s">
        <v>446</v>
      </c>
      <c r="B16" s="20">
        <v>5</v>
      </c>
      <c r="C16" s="11" t="s">
        <v>197</v>
      </c>
      <c r="F16" s="11" t="s">
        <v>446</v>
      </c>
      <c r="G16" s="27">
        <v>164</v>
      </c>
      <c r="H16" s="11" t="s">
        <v>413</v>
      </c>
      <c r="J16" s="12" t="s">
        <v>446</v>
      </c>
      <c r="K16" s="51">
        <v>157</v>
      </c>
      <c r="L16" s="30" t="s">
        <v>1631</v>
      </c>
    </row>
    <row r="17" spans="1:12" ht="12.75">
      <c r="A17" s="11" t="s">
        <v>551</v>
      </c>
      <c r="B17">
        <v>0</v>
      </c>
      <c r="C17" s="11" t="s">
        <v>197</v>
      </c>
      <c r="F17" s="11" t="s">
        <v>551</v>
      </c>
      <c r="G17" s="9">
        <v>145</v>
      </c>
      <c r="H17" s="11" t="s">
        <v>413</v>
      </c>
      <c r="J17" s="12" t="s">
        <v>551</v>
      </c>
      <c r="K17" s="24">
        <v>72</v>
      </c>
      <c r="L17" s="30" t="s">
        <v>1631</v>
      </c>
    </row>
    <row r="18" spans="1:12" ht="12.75">
      <c r="A18" s="11" t="s">
        <v>552</v>
      </c>
      <c r="B18" s="2">
        <v>0</v>
      </c>
      <c r="C18" s="11" t="s">
        <v>197</v>
      </c>
      <c r="F18" s="11" t="s">
        <v>552</v>
      </c>
      <c r="G18" s="27">
        <v>88</v>
      </c>
      <c r="H18" s="11" t="s">
        <v>413</v>
      </c>
      <c r="J18" s="12" t="s">
        <v>552</v>
      </c>
      <c r="K18" s="51">
        <v>75</v>
      </c>
      <c r="L18" s="30" t="s">
        <v>1631</v>
      </c>
    </row>
    <row r="19" spans="1:12" ht="12.75">
      <c r="A19" s="11" t="s">
        <v>352</v>
      </c>
      <c r="B19" s="2">
        <v>10</v>
      </c>
      <c r="C19" s="11" t="s">
        <v>197</v>
      </c>
      <c r="F19" s="11" t="s">
        <v>352</v>
      </c>
      <c r="G19" s="27">
        <v>67</v>
      </c>
      <c r="H19" s="11" t="s">
        <v>413</v>
      </c>
      <c r="J19" s="12" t="s">
        <v>352</v>
      </c>
      <c r="K19" s="50">
        <v>22</v>
      </c>
      <c r="L19" s="30" t="s">
        <v>1631</v>
      </c>
    </row>
    <row r="20" spans="1:12" ht="12.75">
      <c r="A20" s="11" t="s">
        <v>342</v>
      </c>
      <c r="B20" s="1">
        <v>50</v>
      </c>
      <c r="C20" s="11" t="s">
        <v>197</v>
      </c>
      <c r="F20" s="11" t="s">
        <v>342</v>
      </c>
      <c r="G20" s="27">
        <v>238</v>
      </c>
      <c r="H20" s="11" t="s">
        <v>413</v>
      </c>
      <c r="J20" s="12" t="s">
        <v>342</v>
      </c>
      <c r="K20" s="51">
        <v>190</v>
      </c>
      <c r="L20" s="30" t="s">
        <v>1631</v>
      </c>
    </row>
    <row r="21" spans="1:12" ht="12.75">
      <c r="A21" s="11" t="s">
        <v>281</v>
      </c>
      <c r="B21">
        <v>0</v>
      </c>
      <c r="C21" s="11" t="s">
        <v>197</v>
      </c>
      <c r="F21" s="11" t="s">
        <v>281</v>
      </c>
      <c r="G21" s="24">
        <v>51</v>
      </c>
      <c r="H21" s="11" t="s">
        <v>413</v>
      </c>
      <c r="J21" s="12" t="s">
        <v>281</v>
      </c>
      <c r="K21" s="24">
        <v>4</v>
      </c>
      <c r="L21" s="30" t="s">
        <v>1631</v>
      </c>
    </row>
    <row r="22" spans="1:12" ht="12.75">
      <c r="A22" s="11" t="s">
        <v>350</v>
      </c>
      <c r="B22" s="1">
        <v>0</v>
      </c>
      <c r="C22" s="11" t="s">
        <v>197</v>
      </c>
      <c r="F22" s="11" t="s">
        <v>350</v>
      </c>
      <c r="G22" s="24">
        <v>26</v>
      </c>
      <c r="H22" s="11" t="s">
        <v>413</v>
      </c>
      <c r="J22" s="12" t="s">
        <v>350</v>
      </c>
      <c r="K22" s="51">
        <v>23</v>
      </c>
      <c r="L22" s="30" t="s">
        <v>1631</v>
      </c>
    </row>
    <row r="23" spans="1:12" ht="12.75">
      <c r="A23" s="11" t="s">
        <v>439</v>
      </c>
      <c r="B23" s="22">
        <v>19</v>
      </c>
      <c r="C23" s="11" t="s">
        <v>197</v>
      </c>
      <c r="F23" s="11" t="s">
        <v>439</v>
      </c>
      <c r="G23" s="22">
        <v>102</v>
      </c>
      <c r="H23" s="11" t="s">
        <v>413</v>
      </c>
      <c r="J23" s="12" t="s">
        <v>439</v>
      </c>
      <c r="K23" s="24">
        <v>82</v>
      </c>
      <c r="L23" s="30" t="s">
        <v>1631</v>
      </c>
    </row>
    <row r="24" spans="1:12" ht="12.75">
      <c r="A24" s="11" t="s">
        <v>283</v>
      </c>
      <c r="B24" s="1">
        <v>3</v>
      </c>
      <c r="C24" s="11" t="s">
        <v>197</v>
      </c>
      <c r="F24" s="11" t="s">
        <v>283</v>
      </c>
      <c r="G24" s="24">
        <v>153</v>
      </c>
      <c r="H24" s="11" t="s">
        <v>413</v>
      </c>
      <c r="J24" s="12" t="s">
        <v>283</v>
      </c>
      <c r="K24" s="24">
        <v>138</v>
      </c>
      <c r="L24" s="30" t="s">
        <v>1631</v>
      </c>
    </row>
    <row r="25" spans="1:12" ht="12.75">
      <c r="A25" s="11" t="s">
        <v>408</v>
      </c>
      <c r="B25" s="1">
        <v>2</v>
      </c>
      <c r="C25" s="11" t="s">
        <v>197</v>
      </c>
      <c r="F25" s="11" t="s">
        <v>408</v>
      </c>
      <c r="G25" s="24">
        <v>40</v>
      </c>
      <c r="H25" s="11" t="s">
        <v>413</v>
      </c>
      <c r="J25" s="12" t="s">
        <v>408</v>
      </c>
      <c r="K25" s="24">
        <v>36</v>
      </c>
      <c r="L25" s="30" t="s">
        <v>1631</v>
      </c>
    </row>
    <row r="26" spans="1:12" ht="12.75">
      <c r="A26" s="11" t="s">
        <v>277</v>
      </c>
      <c r="B26" s="23">
        <v>2</v>
      </c>
      <c r="C26" s="11" t="s">
        <v>197</v>
      </c>
      <c r="F26" s="11" t="s">
        <v>277</v>
      </c>
      <c r="G26" s="29">
        <v>200</v>
      </c>
      <c r="H26" s="11" t="s">
        <v>413</v>
      </c>
      <c r="J26" s="12" t="s">
        <v>277</v>
      </c>
      <c r="K26" s="51">
        <v>180</v>
      </c>
      <c r="L26" s="30" t="s">
        <v>1631</v>
      </c>
    </row>
    <row r="27" spans="1:12" ht="12.75">
      <c r="A27" s="11" t="s">
        <v>278</v>
      </c>
      <c r="B27" s="23">
        <v>75</v>
      </c>
      <c r="C27" s="11" t="s">
        <v>197</v>
      </c>
      <c r="F27" s="11" t="s">
        <v>278</v>
      </c>
      <c r="G27" s="29">
        <v>125</v>
      </c>
      <c r="H27" s="11" t="s">
        <v>413</v>
      </c>
      <c r="J27" s="12" t="s">
        <v>278</v>
      </c>
      <c r="K27" s="24">
        <v>25</v>
      </c>
      <c r="L27" s="30" t="s">
        <v>1631</v>
      </c>
    </row>
    <row r="28" spans="1:12" ht="12.75">
      <c r="A28" s="11" t="s">
        <v>351</v>
      </c>
      <c r="B28" s="2">
        <v>200</v>
      </c>
      <c r="C28" s="11" t="s">
        <v>197</v>
      </c>
      <c r="F28" s="11" t="s">
        <v>351</v>
      </c>
      <c r="G28" s="30">
        <v>480</v>
      </c>
      <c r="H28" s="11" t="s">
        <v>413</v>
      </c>
      <c r="J28" s="12" t="s">
        <v>351</v>
      </c>
      <c r="K28" s="30">
        <v>480</v>
      </c>
      <c r="L28" s="30" t="s">
        <v>1631</v>
      </c>
    </row>
    <row r="29" spans="1:12" ht="12.75">
      <c r="A29" s="11" t="s">
        <v>279</v>
      </c>
      <c r="B29">
        <v>1</v>
      </c>
      <c r="C29" s="11" t="s">
        <v>197</v>
      </c>
      <c r="F29" s="11" t="s">
        <v>279</v>
      </c>
      <c r="G29" s="9">
        <v>67</v>
      </c>
      <c r="H29" s="11" t="s">
        <v>413</v>
      </c>
      <c r="J29" s="12" t="s">
        <v>279</v>
      </c>
      <c r="K29" s="30">
        <v>8</v>
      </c>
      <c r="L29" s="30" t="s">
        <v>1631</v>
      </c>
    </row>
    <row r="30" spans="1:12" ht="12.75">
      <c r="A30" s="11" t="s">
        <v>353</v>
      </c>
      <c r="B30" s="21">
        <v>0</v>
      </c>
      <c r="C30" s="11" t="s">
        <v>197</v>
      </c>
      <c r="F30" s="11" t="s">
        <v>353</v>
      </c>
      <c r="G30" s="24">
        <v>20</v>
      </c>
      <c r="H30" s="11" t="s">
        <v>413</v>
      </c>
      <c r="J30" s="12" t="s">
        <v>353</v>
      </c>
      <c r="K30" s="24">
        <v>20</v>
      </c>
      <c r="L30" s="30" t="s">
        <v>1631</v>
      </c>
    </row>
    <row r="31" spans="1:12" ht="12.75">
      <c r="A31" s="11" t="s">
        <v>282</v>
      </c>
      <c r="B31" s="20">
        <v>1</v>
      </c>
      <c r="C31" s="11" t="s">
        <v>197</v>
      </c>
      <c r="F31" s="11" t="s">
        <v>282</v>
      </c>
      <c r="G31" s="25">
        <v>49</v>
      </c>
      <c r="H31" s="11" t="s">
        <v>413</v>
      </c>
      <c r="J31" s="12" t="s">
        <v>282</v>
      </c>
      <c r="K31" s="24">
        <v>42</v>
      </c>
      <c r="L31" s="30" t="s">
        <v>1631</v>
      </c>
    </row>
    <row r="32" spans="1:12" ht="12.75">
      <c r="A32" s="11" t="s">
        <v>553</v>
      </c>
      <c r="B32" s="21">
        <v>0</v>
      </c>
      <c r="C32" s="11" t="s">
        <v>197</v>
      </c>
      <c r="F32" s="11" t="s">
        <v>553</v>
      </c>
      <c r="G32" s="24">
        <v>61</v>
      </c>
      <c r="H32" s="11" t="s">
        <v>413</v>
      </c>
      <c r="J32" s="12" t="s">
        <v>553</v>
      </c>
      <c r="K32" s="24">
        <v>5</v>
      </c>
      <c r="L32" s="30" t="s">
        <v>1631</v>
      </c>
    </row>
    <row r="33" spans="1:12" ht="12.75">
      <c r="A33" s="11" t="s">
        <v>288</v>
      </c>
      <c r="B33" s="1">
        <v>6</v>
      </c>
      <c r="C33" s="11" t="s">
        <v>197</v>
      </c>
      <c r="F33" s="11" t="s">
        <v>288</v>
      </c>
      <c r="G33" s="24">
        <v>108</v>
      </c>
      <c r="H33" s="11" t="s">
        <v>413</v>
      </c>
      <c r="J33" s="12" t="s">
        <v>288</v>
      </c>
      <c r="K33" s="33">
        <v>87</v>
      </c>
      <c r="L33" s="30" t="s">
        <v>1631</v>
      </c>
    </row>
    <row r="34" spans="1:12" ht="12.75">
      <c r="A34" s="11" t="s">
        <v>341</v>
      </c>
      <c r="B34" s="24">
        <v>50</v>
      </c>
      <c r="C34" s="11" t="s">
        <v>196</v>
      </c>
      <c r="F34" s="11" t="s">
        <v>341</v>
      </c>
      <c r="G34" s="1">
        <v>0</v>
      </c>
      <c r="H34" s="11" t="s">
        <v>198</v>
      </c>
      <c r="J34" s="12" t="s">
        <v>341</v>
      </c>
      <c r="K34" s="24">
        <v>0</v>
      </c>
      <c r="L34" s="11" t="s">
        <v>1632</v>
      </c>
    </row>
    <row r="35" spans="1:12" ht="12.75">
      <c r="A35" s="11" t="s">
        <v>554</v>
      </c>
      <c r="B35" s="27">
        <v>170</v>
      </c>
      <c r="C35" s="11" t="s">
        <v>196</v>
      </c>
      <c r="F35" s="11" t="s">
        <v>554</v>
      </c>
      <c r="G35" s="1">
        <v>25</v>
      </c>
      <c r="H35" s="11" t="s">
        <v>198</v>
      </c>
      <c r="J35" s="12" t="s">
        <v>554</v>
      </c>
      <c r="K35" s="24">
        <v>0</v>
      </c>
      <c r="L35" s="11" t="s">
        <v>1632</v>
      </c>
    </row>
    <row r="36" spans="1:12" ht="12.75">
      <c r="A36" s="11" t="s">
        <v>436</v>
      </c>
      <c r="B36" s="24">
        <v>116</v>
      </c>
      <c r="C36" s="11" t="s">
        <v>196</v>
      </c>
      <c r="F36" s="11" t="s">
        <v>436</v>
      </c>
      <c r="G36" s="27">
        <v>87</v>
      </c>
      <c r="H36" s="11" t="s">
        <v>198</v>
      </c>
      <c r="J36" s="12" t="s">
        <v>436</v>
      </c>
      <c r="K36" s="51">
        <v>197</v>
      </c>
      <c r="L36" s="11" t="s">
        <v>1632</v>
      </c>
    </row>
    <row r="37" spans="1:12" ht="12.75">
      <c r="A37" s="11" t="s">
        <v>286</v>
      </c>
      <c r="B37" s="24">
        <v>380</v>
      </c>
      <c r="C37" s="11" t="s">
        <v>196</v>
      </c>
      <c r="F37" s="11" t="s">
        <v>286</v>
      </c>
      <c r="G37" s="1">
        <v>240</v>
      </c>
      <c r="H37" s="11" t="s">
        <v>198</v>
      </c>
      <c r="J37" s="12" t="s">
        <v>286</v>
      </c>
      <c r="K37" s="24">
        <v>180</v>
      </c>
      <c r="L37" s="11" t="s">
        <v>1632</v>
      </c>
    </row>
    <row r="38" spans="1:12" ht="12.75">
      <c r="A38" s="11" t="s">
        <v>445</v>
      </c>
      <c r="B38" s="25">
        <v>190</v>
      </c>
      <c r="C38" s="11" t="s">
        <v>196</v>
      </c>
      <c r="F38" s="11" t="s">
        <v>445</v>
      </c>
      <c r="G38" s="25">
        <v>100</v>
      </c>
      <c r="H38" s="11" t="s">
        <v>198</v>
      </c>
      <c r="J38" s="12" t="s">
        <v>445</v>
      </c>
      <c r="K38" s="51">
        <v>60</v>
      </c>
      <c r="L38" s="11" t="s">
        <v>1632</v>
      </c>
    </row>
    <row r="39" spans="1:12" ht="12.75">
      <c r="A39" s="11" t="s">
        <v>349</v>
      </c>
      <c r="B39" s="19">
        <v>140</v>
      </c>
      <c r="C39" s="11" t="s">
        <v>196</v>
      </c>
      <c r="F39" s="11" t="s">
        <v>349</v>
      </c>
      <c r="G39" s="9">
        <v>55</v>
      </c>
      <c r="H39" s="11" t="s">
        <v>198</v>
      </c>
      <c r="J39" s="12" t="s">
        <v>349</v>
      </c>
      <c r="K39" s="78">
        <v>129</v>
      </c>
      <c r="L39" s="11" t="s">
        <v>1632</v>
      </c>
    </row>
    <row r="40" spans="1:12" ht="12.75">
      <c r="A40" s="11" t="s">
        <v>550</v>
      </c>
      <c r="B40" s="26">
        <v>250</v>
      </c>
      <c r="C40" s="11" t="s">
        <v>196</v>
      </c>
      <c r="F40" s="11" t="s">
        <v>550</v>
      </c>
      <c r="G40" s="26">
        <v>150</v>
      </c>
      <c r="H40" s="11" t="s">
        <v>198</v>
      </c>
      <c r="J40" s="12" t="s">
        <v>550</v>
      </c>
      <c r="K40" s="51">
        <v>10</v>
      </c>
      <c r="L40" s="11" t="s">
        <v>1632</v>
      </c>
    </row>
    <row r="41" spans="1:12" ht="12.75">
      <c r="A41" s="11" t="s">
        <v>343</v>
      </c>
      <c r="B41" s="24">
        <v>123</v>
      </c>
      <c r="C41" s="11" t="s">
        <v>196</v>
      </c>
      <c r="F41" s="11" t="s">
        <v>343</v>
      </c>
      <c r="G41" s="27">
        <v>17</v>
      </c>
      <c r="H41" s="11" t="s">
        <v>198</v>
      </c>
      <c r="J41" s="12" t="s">
        <v>343</v>
      </c>
      <c r="K41" s="51">
        <v>95</v>
      </c>
      <c r="L41" s="11" t="s">
        <v>1632</v>
      </c>
    </row>
    <row r="42" spans="1:12" ht="12.75">
      <c r="A42" s="11" t="s">
        <v>437</v>
      </c>
      <c r="B42" s="27">
        <v>60</v>
      </c>
      <c r="C42" s="11" t="s">
        <v>196</v>
      </c>
      <c r="F42" s="11" t="s">
        <v>437</v>
      </c>
      <c r="G42" s="24">
        <v>15</v>
      </c>
      <c r="H42" s="11" t="s">
        <v>198</v>
      </c>
      <c r="J42" s="12" t="s">
        <v>437</v>
      </c>
      <c r="K42" s="24">
        <v>5</v>
      </c>
      <c r="L42" s="11" t="s">
        <v>1632</v>
      </c>
    </row>
    <row r="43" spans="1:12" ht="12.75">
      <c r="A43" s="11" t="s">
        <v>287</v>
      </c>
      <c r="B43" s="9">
        <v>55</v>
      </c>
      <c r="C43" s="11" t="s">
        <v>196</v>
      </c>
      <c r="F43" s="11" t="s">
        <v>287</v>
      </c>
      <c r="G43">
        <v>20</v>
      </c>
      <c r="H43" s="11" t="s">
        <v>198</v>
      </c>
      <c r="J43" s="12" t="s">
        <v>287</v>
      </c>
      <c r="K43" s="24">
        <v>0</v>
      </c>
      <c r="L43" s="11" t="s">
        <v>1632</v>
      </c>
    </row>
    <row r="44" spans="1:12" ht="12.75">
      <c r="A44" s="11" t="s">
        <v>438</v>
      </c>
      <c r="B44" s="25">
        <v>29</v>
      </c>
      <c r="C44" s="11" t="s">
        <v>196</v>
      </c>
      <c r="F44" s="11" t="s">
        <v>438</v>
      </c>
      <c r="G44" s="1">
        <v>0</v>
      </c>
      <c r="H44" s="11" t="s">
        <v>198</v>
      </c>
      <c r="J44" s="12" t="s">
        <v>438</v>
      </c>
      <c r="K44" s="24">
        <v>15</v>
      </c>
      <c r="L44" s="11" t="s">
        <v>1632</v>
      </c>
    </row>
    <row r="45" spans="1:12" ht="12.75">
      <c r="A45" s="11" t="s">
        <v>444</v>
      </c>
      <c r="B45" s="28">
        <v>40</v>
      </c>
      <c r="C45" s="11" t="s">
        <v>196</v>
      </c>
      <c r="F45" s="11" t="s">
        <v>444</v>
      </c>
      <c r="G45" s="2">
        <v>0</v>
      </c>
      <c r="H45" s="11" t="s">
        <v>198</v>
      </c>
      <c r="J45" s="12" t="s">
        <v>444</v>
      </c>
      <c r="K45" s="50">
        <v>10</v>
      </c>
      <c r="L45" s="11" t="s">
        <v>1632</v>
      </c>
    </row>
    <row r="46" spans="1:12" ht="12.75">
      <c r="A46" s="11" t="s">
        <v>446</v>
      </c>
      <c r="B46" s="25">
        <v>160</v>
      </c>
      <c r="C46" s="11" t="s">
        <v>196</v>
      </c>
      <c r="F46" s="11" t="s">
        <v>446</v>
      </c>
      <c r="G46" s="2">
        <v>1</v>
      </c>
      <c r="H46" s="11" t="s">
        <v>198</v>
      </c>
      <c r="J46" s="12" t="s">
        <v>446</v>
      </c>
      <c r="K46" s="51">
        <v>7</v>
      </c>
      <c r="L46" s="11" t="s">
        <v>1632</v>
      </c>
    </row>
    <row r="47" spans="1:12" ht="12.75">
      <c r="A47" s="11" t="s">
        <v>551</v>
      </c>
      <c r="B47" s="9">
        <v>220</v>
      </c>
      <c r="C47" s="11" t="s">
        <v>196</v>
      </c>
      <c r="F47" s="11" t="s">
        <v>551</v>
      </c>
      <c r="G47">
        <v>75</v>
      </c>
      <c r="H47" s="11" t="s">
        <v>198</v>
      </c>
      <c r="J47" s="12" t="s">
        <v>551</v>
      </c>
      <c r="K47" s="24">
        <v>73</v>
      </c>
      <c r="L47" s="11" t="s">
        <v>1632</v>
      </c>
    </row>
    <row r="48" spans="1:12" ht="12.75">
      <c r="A48" s="11" t="s">
        <v>552</v>
      </c>
      <c r="B48" s="26">
        <v>88</v>
      </c>
      <c r="C48" s="11" t="s">
        <v>196</v>
      </c>
      <c r="F48" s="11" t="s">
        <v>552</v>
      </c>
      <c r="G48" s="1">
        <v>0</v>
      </c>
      <c r="H48" s="11" t="s">
        <v>198</v>
      </c>
      <c r="J48" s="12" t="s">
        <v>552</v>
      </c>
      <c r="K48" s="51">
        <v>13</v>
      </c>
      <c r="L48" s="11" t="s">
        <v>1632</v>
      </c>
    </row>
    <row r="49" spans="1:12" ht="12.75">
      <c r="A49" s="11" t="s">
        <v>352</v>
      </c>
      <c r="B49" s="27">
        <v>60</v>
      </c>
      <c r="C49" s="11" t="s">
        <v>196</v>
      </c>
      <c r="F49" s="11" t="s">
        <v>352</v>
      </c>
      <c r="G49" s="2">
        <v>3</v>
      </c>
      <c r="H49" s="11" t="s">
        <v>198</v>
      </c>
      <c r="J49" s="12" t="s">
        <v>352</v>
      </c>
      <c r="K49" s="50">
        <v>45</v>
      </c>
      <c r="L49" s="11" t="s">
        <v>1632</v>
      </c>
    </row>
    <row r="50" spans="1:12" ht="12.75">
      <c r="A50" s="11" t="s">
        <v>342</v>
      </c>
      <c r="B50" s="24">
        <v>200</v>
      </c>
      <c r="C50" s="11" t="s">
        <v>196</v>
      </c>
      <c r="F50" s="11" t="s">
        <v>342</v>
      </c>
      <c r="G50" s="2">
        <v>12</v>
      </c>
      <c r="H50" s="11" t="s">
        <v>198</v>
      </c>
      <c r="J50" s="12" t="s">
        <v>342</v>
      </c>
      <c r="K50" s="51">
        <v>48</v>
      </c>
      <c r="L50" s="11" t="s">
        <v>1632</v>
      </c>
    </row>
    <row r="51" spans="1:12" ht="12.75">
      <c r="A51" s="11" t="s">
        <v>281</v>
      </c>
      <c r="B51" s="9">
        <v>51</v>
      </c>
      <c r="C51" s="11" t="s">
        <v>196</v>
      </c>
      <c r="F51" s="11" t="s">
        <v>281</v>
      </c>
      <c r="G51" s="1">
        <v>0</v>
      </c>
      <c r="H51" s="11" t="s">
        <v>198</v>
      </c>
      <c r="J51" s="12" t="s">
        <v>281</v>
      </c>
      <c r="K51" s="24">
        <v>47</v>
      </c>
      <c r="L51" s="11" t="s">
        <v>1632</v>
      </c>
    </row>
    <row r="52" spans="1:12" ht="12.75">
      <c r="A52" s="11" t="s">
        <v>350</v>
      </c>
      <c r="B52" s="27">
        <v>27</v>
      </c>
      <c r="C52" s="11" t="s">
        <v>196</v>
      </c>
      <c r="F52" s="11" t="s">
        <v>350</v>
      </c>
      <c r="G52" s="1">
        <v>1</v>
      </c>
      <c r="H52" s="11" t="s">
        <v>198</v>
      </c>
      <c r="J52" s="12" t="s">
        <v>350</v>
      </c>
      <c r="K52" s="51">
        <v>27</v>
      </c>
      <c r="L52" s="11" t="s">
        <v>1632</v>
      </c>
    </row>
    <row r="53" spans="1:12" ht="12.75">
      <c r="A53" s="11" t="s">
        <v>439</v>
      </c>
      <c r="B53" s="31">
        <v>131</v>
      </c>
      <c r="C53" s="11" t="s">
        <v>196</v>
      </c>
      <c r="F53" s="11" t="s">
        <v>439</v>
      </c>
      <c r="G53" s="22">
        <v>48</v>
      </c>
      <c r="H53" s="11" t="s">
        <v>198</v>
      </c>
      <c r="J53" s="12" t="s">
        <v>439</v>
      </c>
      <c r="K53" s="24">
        <v>68</v>
      </c>
      <c r="L53" s="11" t="s">
        <v>1632</v>
      </c>
    </row>
    <row r="54" spans="1:12" ht="12.75">
      <c r="A54" s="11" t="s">
        <v>283</v>
      </c>
      <c r="B54" s="24">
        <v>167</v>
      </c>
      <c r="C54" s="11" t="s">
        <v>196</v>
      </c>
      <c r="F54" s="11" t="s">
        <v>283</v>
      </c>
      <c r="G54" s="1">
        <v>7</v>
      </c>
      <c r="H54" s="11" t="s">
        <v>198</v>
      </c>
      <c r="J54" s="12" t="s">
        <v>283</v>
      </c>
      <c r="K54" s="24">
        <v>15</v>
      </c>
      <c r="L54" s="11" t="s">
        <v>1632</v>
      </c>
    </row>
    <row r="55" spans="1:12" ht="12.75">
      <c r="A55" s="11" t="s">
        <v>408</v>
      </c>
      <c r="B55" s="24">
        <v>38</v>
      </c>
      <c r="C55" s="11" t="s">
        <v>196</v>
      </c>
      <c r="F55" s="11" t="s">
        <v>408</v>
      </c>
      <c r="G55" s="1">
        <v>0</v>
      </c>
      <c r="H55" s="11" t="s">
        <v>198</v>
      </c>
      <c r="J55" s="12" t="s">
        <v>408</v>
      </c>
      <c r="K55" s="24">
        <v>4</v>
      </c>
      <c r="L55" s="11" t="s">
        <v>1632</v>
      </c>
    </row>
    <row r="56" spans="1:12" ht="12.75">
      <c r="A56" s="11" t="s">
        <v>277</v>
      </c>
      <c r="B56" s="29">
        <v>228</v>
      </c>
      <c r="C56" s="11" t="s">
        <v>196</v>
      </c>
      <c r="F56" s="11" t="s">
        <v>277</v>
      </c>
      <c r="G56" s="23">
        <v>30</v>
      </c>
      <c r="H56" s="11" t="s">
        <v>198</v>
      </c>
      <c r="J56" s="12" t="s">
        <v>277</v>
      </c>
      <c r="K56" s="51">
        <v>20</v>
      </c>
      <c r="L56" s="11" t="s">
        <v>1632</v>
      </c>
    </row>
    <row r="57" spans="1:12" ht="12.75">
      <c r="A57" s="11" t="s">
        <v>278</v>
      </c>
      <c r="B57" s="29">
        <v>100</v>
      </c>
      <c r="C57" s="11" t="s">
        <v>196</v>
      </c>
      <c r="F57" s="11" t="s">
        <v>278</v>
      </c>
      <c r="G57" s="23">
        <v>50</v>
      </c>
      <c r="H57" s="11" t="s">
        <v>198</v>
      </c>
      <c r="J57" s="12" t="s">
        <v>278</v>
      </c>
      <c r="K57" s="24">
        <v>100</v>
      </c>
      <c r="L57" s="11" t="s">
        <v>1632</v>
      </c>
    </row>
    <row r="58" spans="1:12" ht="12.75">
      <c r="A58" s="11" t="s">
        <v>351</v>
      </c>
      <c r="B58" s="27">
        <v>400</v>
      </c>
      <c r="C58" s="11" t="s">
        <v>196</v>
      </c>
      <c r="F58" s="11" t="s">
        <v>351</v>
      </c>
      <c r="G58" s="32">
        <v>120</v>
      </c>
      <c r="H58" s="11" t="s">
        <v>198</v>
      </c>
      <c r="J58" s="12" t="s">
        <v>351</v>
      </c>
      <c r="K58" s="24">
        <v>0</v>
      </c>
      <c r="L58" s="11" t="s">
        <v>1632</v>
      </c>
    </row>
    <row r="59" spans="1:12" ht="12.75">
      <c r="A59" s="11" t="s">
        <v>279</v>
      </c>
      <c r="B59" s="9">
        <v>104</v>
      </c>
      <c r="C59" s="11" t="s">
        <v>196</v>
      </c>
      <c r="F59" s="11" t="s">
        <v>279</v>
      </c>
      <c r="G59">
        <v>38</v>
      </c>
      <c r="H59" s="11" t="s">
        <v>198</v>
      </c>
      <c r="J59" s="12" t="s">
        <v>279</v>
      </c>
      <c r="K59" s="30">
        <v>59</v>
      </c>
      <c r="L59" s="11" t="s">
        <v>1632</v>
      </c>
    </row>
    <row r="60" spans="1:12" ht="12.75">
      <c r="A60" s="11" t="s">
        <v>353</v>
      </c>
      <c r="B60" s="26">
        <v>20</v>
      </c>
      <c r="C60" s="11" t="s">
        <v>196</v>
      </c>
      <c r="F60" s="11" t="s">
        <v>353</v>
      </c>
      <c r="G60" s="1">
        <v>0</v>
      </c>
      <c r="H60" s="11" t="s">
        <v>198</v>
      </c>
      <c r="J60" s="12" t="s">
        <v>353</v>
      </c>
      <c r="K60" s="24">
        <v>0</v>
      </c>
      <c r="L60" s="11" t="s">
        <v>1632</v>
      </c>
    </row>
    <row r="61" spans="1:12" ht="12.75">
      <c r="A61" s="11" t="s">
        <v>282</v>
      </c>
      <c r="B61" s="25">
        <v>69</v>
      </c>
      <c r="C61" s="11" t="s">
        <v>196</v>
      </c>
      <c r="F61" s="11" t="s">
        <v>282</v>
      </c>
      <c r="G61" s="20">
        <v>21</v>
      </c>
      <c r="H61" s="11" t="s">
        <v>198</v>
      </c>
      <c r="J61" s="12" t="s">
        <v>282</v>
      </c>
      <c r="K61" s="24">
        <v>7</v>
      </c>
      <c r="L61" s="11" t="s">
        <v>1632</v>
      </c>
    </row>
    <row r="62" spans="1:12" ht="12.75">
      <c r="A62" s="11" t="s">
        <v>553</v>
      </c>
      <c r="B62" s="26">
        <v>65</v>
      </c>
      <c r="C62" s="11" t="s">
        <v>196</v>
      </c>
      <c r="F62" s="11" t="s">
        <v>553</v>
      </c>
      <c r="G62" s="1">
        <v>4</v>
      </c>
      <c r="H62" s="11" t="s">
        <v>198</v>
      </c>
      <c r="J62" s="12" t="s">
        <v>553</v>
      </c>
      <c r="K62" s="30">
        <v>1</v>
      </c>
      <c r="L62" s="11" t="s">
        <v>1632</v>
      </c>
    </row>
    <row r="63" spans="1:12" ht="12.75">
      <c r="A63" s="11" t="s">
        <v>288</v>
      </c>
      <c r="B63" s="24">
        <v>114</v>
      </c>
      <c r="C63" s="11" t="s">
        <v>196</v>
      </c>
      <c r="F63" s="11" t="s">
        <v>288</v>
      </c>
      <c r="G63" s="1">
        <v>12</v>
      </c>
      <c r="H63" s="11" t="s">
        <v>198</v>
      </c>
      <c r="J63" s="12" t="s">
        <v>288</v>
      </c>
      <c r="K63" s="45">
        <v>21</v>
      </c>
      <c r="L63" s="11" t="s">
        <v>1632</v>
      </c>
    </row>
    <row r="66" spans="1:2" ht="12.75">
      <c r="A66" s="67" t="s">
        <v>410</v>
      </c>
      <c r="B66" s="67" t="s">
        <v>411</v>
      </c>
    </row>
    <row r="67" spans="1:4" ht="12.75">
      <c r="A67" s="67" t="s">
        <v>409</v>
      </c>
      <c r="B67" t="s">
        <v>197</v>
      </c>
      <c r="C67" t="s">
        <v>196</v>
      </c>
      <c r="D67" t="s">
        <v>1672</v>
      </c>
    </row>
    <row r="68" spans="1:4" ht="12.75">
      <c r="A68" s="5" t="s">
        <v>341</v>
      </c>
      <c r="B68" s="4">
        <v>0</v>
      </c>
      <c r="C68" s="4">
        <v>50</v>
      </c>
      <c r="D68" s="4">
        <v>50</v>
      </c>
    </row>
    <row r="69" spans="1:4" ht="12.75">
      <c r="A69" s="5" t="s">
        <v>350</v>
      </c>
      <c r="B69" s="4">
        <v>0</v>
      </c>
      <c r="C69" s="4">
        <v>27</v>
      </c>
      <c r="D69" s="4">
        <v>27</v>
      </c>
    </row>
    <row r="70" spans="1:4" ht="12.75">
      <c r="A70" s="5" t="s">
        <v>554</v>
      </c>
      <c r="B70" s="4">
        <v>5</v>
      </c>
      <c r="C70" s="4">
        <v>170</v>
      </c>
      <c r="D70" s="4">
        <v>175</v>
      </c>
    </row>
    <row r="71" spans="1:4" ht="12.75">
      <c r="A71" s="5" t="s">
        <v>553</v>
      </c>
      <c r="B71" s="4">
        <v>0</v>
      </c>
      <c r="C71" s="4">
        <v>65</v>
      </c>
      <c r="D71" s="4">
        <v>65</v>
      </c>
    </row>
    <row r="72" spans="1:4" ht="12.75">
      <c r="A72" s="5" t="s">
        <v>352</v>
      </c>
      <c r="B72" s="4">
        <v>10</v>
      </c>
      <c r="C72" s="4">
        <v>60</v>
      </c>
      <c r="D72" s="4">
        <v>70</v>
      </c>
    </row>
    <row r="73" spans="1:4" ht="12.75">
      <c r="A73" s="5" t="s">
        <v>342</v>
      </c>
      <c r="B73" s="4">
        <v>50</v>
      </c>
      <c r="C73" s="4">
        <v>200</v>
      </c>
      <c r="D73" s="4">
        <v>250</v>
      </c>
    </row>
    <row r="74" spans="1:4" ht="12.75">
      <c r="A74" s="5" t="s">
        <v>445</v>
      </c>
      <c r="B74" s="4">
        <v>30</v>
      </c>
      <c r="C74" s="4">
        <v>190</v>
      </c>
      <c r="D74" s="4">
        <v>220</v>
      </c>
    </row>
    <row r="75" spans="1:4" ht="12.75">
      <c r="A75" s="5" t="s">
        <v>349</v>
      </c>
      <c r="B75" s="4">
        <v>30</v>
      </c>
      <c r="C75" s="4">
        <v>140</v>
      </c>
      <c r="D75" s="4">
        <v>170</v>
      </c>
    </row>
    <row r="76" spans="1:4" ht="12.75">
      <c r="A76" s="5" t="s">
        <v>444</v>
      </c>
      <c r="B76" s="4">
        <v>0</v>
      </c>
      <c r="C76" s="4">
        <v>40</v>
      </c>
      <c r="D76" s="4">
        <v>40</v>
      </c>
    </row>
    <row r="77" spans="1:4" ht="12.75">
      <c r="A77" s="5" t="s">
        <v>343</v>
      </c>
      <c r="B77" s="4">
        <v>52</v>
      </c>
      <c r="C77" s="4">
        <v>123</v>
      </c>
      <c r="D77" s="4">
        <v>175</v>
      </c>
    </row>
    <row r="78" spans="1:4" ht="12.75">
      <c r="A78" s="5" t="s">
        <v>436</v>
      </c>
      <c r="B78" s="4">
        <v>233</v>
      </c>
      <c r="C78" s="4">
        <v>116</v>
      </c>
      <c r="D78" s="4">
        <v>349</v>
      </c>
    </row>
    <row r="79" spans="1:4" ht="12.75">
      <c r="A79" s="5" t="s">
        <v>437</v>
      </c>
      <c r="B79" s="4">
        <v>5</v>
      </c>
      <c r="C79" s="4">
        <v>60</v>
      </c>
      <c r="D79" s="4">
        <v>65</v>
      </c>
    </row>
    <row r="80" spans="1:4" ht="12.75">
      <c r="A80" s="5" t="s">
        <v>438</v>
      </c>
      <c r="B80" s="4">
        <v>1</v>
      </c>
      <c r="C80" s="4">
        <v>29</v>
      </c>
      <c r="D80" s="4">
        <v>30</v>
      </c>
    </row>
    <row r="81" spans="1:4" ht="12.75">
      <c r="A81" s="5" t="s">
        <v>446</v>
      </c>
      <c r="B81" s="4">
        <v>5</v>
      </c>
      <c r="C81" s="4">
        <v>160</v>
      </c>
      <c r="D81" s="4">
        <v>165</v>
      </c>
    </row>
    <row r="82" spans="1:4" ht="12.75">
      <c r="A82" s="5" t="s">
        <v>550</v>
      </c>
      <c r="B82" s="4">
        <v>50</v>
      </c>
      <c r="C82" s="4">
        <v>250</v>
      </c>
      <c r="D82" s="4">
        <v>300</v>
      </c>
    </row>
    <row r="83" spans="1:4" ht="12.75">
      <c r="A83" s="5" t="s">
        <v>351</v>
      </c>
      <c r="B83" s="4">
        <v>200</v>
      </c>
      <c r="C83" s="4">
        <v>400</v>
      </c>
      <c r="D83" s="4">
        <v>600</v>
      </c>
    </row>
    <row r="84" spans="1:4" ht="12.75">
      <c r="A84" s="5" t="s">
        <v>439</v>
      </c>
      <c r="B84" s="4">
        <v>19</v>
      </c>
      <c r="C84" s="4">
        <v>131</v>
      </c>
      <c r="D84" s="4">
        <v>150</v>
      </c>
    </row>
    <row r="85" spans="1:4" ht="12.75">
      <c r="A85" s="5" t="s">
        <v>353</v>
      </c>
      <c r="B85" s="4">
        <v>0</v>
      </c>
      <c r="C85" s="4">
        <v>20</v>
      </c>
      <c r="D85" s="4">
        <v>20</v>
      </c>
    </row>
    <row r="86" spans="1:4" ht="12.75">
      <c r="A86" s="5" t="s">
        <v>551</v>
      </c>
      <c r="B86" s="4">
        <v>0</v>
      </c>
      <c r="C86" s="4">
        <v>220</v>
      </c>
      <c r="D86" s="4">
        <v>220</v>
      </c>
    </row>
    <row r="87" spans="1:4" ht="12.75">
      <c r="A87" s="5" t="s">
        <v>552</v>
      </c>
      <c r="B87" s="4">
        <v>0</v>
      </c>
      <c r="C87" s="4">
        <v>88</v>
      </c>
      <c r="D87" s="4">
        <v>88</v>
      </c>
    </row>
    <row r="88" spans="1:4" ht="12.75">
      <c r="A88" s="5" t="s">
        <v>281</v>
      </c>
      <c r="B88" s="4">
        <v>0</v>
      </c>
      <c r="C88" s="4">
        <v>51</v>
      </c>
      <c r="D88" s="4">
        <v>51</v>
      </c>
    </row>
    <row r="89" spans="1:4" ht="12.75">
      <c r="A89" s="5" t="s">
        <v>408</v>
      </c>
      <c r="B89" s="4">
        <v>2</v>
      </c>
      <c r="C89" s="4">
        <v>38</v>
      </c>
      <c r="D89" s="4">
        <v>40</v>
      </c>
    </row>
    <row r="90" spans="1:4" ht="12.75">
      <c r="A90" s="5" t="s">
        <v>283</v>
      </c>
      <c r="B90" s="4">
        <v>3</v>
      </c>
      <c r="C90" s="4">
        <v>167</v>
      </c>
      <c r="D90" s="4">
        <v>170</v>
      </c>
    </row>
    <row r="91" spans="1:4" ht="12.75">
      <c r="A91" s="5" t="s">
        <v>277</v>
      </c>
      <c r="B91" s="4">
        <v>2</v>
      </c>
      <c r="C91" s="4">
        <v>228</v>
      </c>
      <c r="D91" s="4">
        <v>230</v>
      </c>
    </row>
    <row r="92" spans="1:4" ht="12.75">
      <c r="A92" s="5" t="s">
        <v>278</v>
      </c>
      <c r="B92" s="4">
        <v>75</v>
      </c>
      <c r="C92" s="4">
        <v>100</v>
      </c>
      <c r="D92" s="4">
        <v>175</v>
      </c>
    </row>
    <row r="93" spans="1:4" ht="12.75">
      <c r="A93" s="5" t="s">
        <v>279</v>
      </c>
      <c r="B93" s="4">
        <v>1</v>
      </c>
      <c r="C93" s="4">
        <v>104</v>
      </c>
      <c r="D93" s="4">
        <v>105</v>
      </c>
    </row>
    <row r="94" spans="1:4" ht="12.75">
      <c r="A94" s="5" t="s">
        <v>282</v>
      </c>
      <c r="B94" s="4">
        <v>1</v>
      </c>
      <c r="C94" s="4">
        <v>69</v>
      </c>
      <c r="D94" s="4">
        <v>70</v>
      </c>
    </row>
    <row r="95" spans="1:4" ht="12.75">
      <c r="A95" s="5" t="s">
        <v>286</v>
      </c>
      <c r="B95" s="4">
        <v>100</v>
      </c>
      <c r="C95" s="4">
        <v>380</v>
      </c>
      <c r="D95" s="4">
        <v>480</v>
      </c>
    </row>
    <row r="96" spans="1:4" ht="12.75">
      <c r="A96" s="5" t="s">
        <v>287</v>
      </c>
      <c r="B96" s="4">
        <v>15</v>
      </c>
      <c r="C96" s="4">
        <v>55</v>
      </c>
      <c r="D96" s="4">
        <v>70</v>
      </c>
    </row>
    <row r="97" spans="1:4" ht="12.75">
      <c r="A97" s="5" t="s">
        <v>288</v>
      </c>
      <c r="B97" s="4">
        <v>6</v>
      </c>
      <c r="C97" s="4">
        <v>114</v>
      </c>
      <c r="D97" s="4">
        <v>120</v>
      </c>
    </row>
    <row r="98" spans="1:4" ht="12.75">
      <c r="A98" s="5" t="s">
        <v>1672</v>
      </c>
      <c r="B98" s="4">
        <v>895</v>
      </c>
      <c r="C98" s="4">
        <v>3845</v>
      </c>
      <c r="D98" s="4">
        <v>4740</v>
      </c>
    </row>
  </sheetData>
  <sheetProtection/>
  <mergeCells count="3">
    <mergeCell ref="A1:C1"/>
    <mergeCell ref="F1:H1"/>
    <mergeCell ref="J1:K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F179"/>
  <sheetViews>
    <sheetView showGridLines="0" zoomScalePageLayoutView="0" workbookViewId="0" topLeftCell="A1">
      <selection activeCell="G9" sqref="G9"/>
    </sheetView>
  </sheetViews>
  <sheetFormatPr defaultColWidth="8.8515625" defaultRowHeight="12.75" outlineLevelRow="1"/>
  <cols>
    <col min="1" max="1" width="3.421875" style="90" customWidth="1"/>
    <col min="2" max="2" width="16.28125" style="90" customWidth="1"/>
    <col min="3" max="3" width="14.7109375" style="90" customWidth="1"/>
    <col min="4" max="4" width="20.00390625" style="90" customWidth="1"/>
    <col min="5" max="5" width="12.28125" style="90" customWidth="1"/>
    <col min="6" max="16384" width="8.8515625" style="90" customWidth="1"/>
  </cols>
  <sheetData>
    <row r="1" ht="75" customHeight="1"/>
    <row r="2" ht="22.5">
      <c r="A2" s="143"/>
    </row>
    <row r="3" ht="22.5">
      <c r="A3" s="143"/>
    </row>
    <row r="4" ht="18.75" customHeight="1">
      <c r="A4" s="146"/>
    </row>
    <row r="5" ht="18.75" customHeight="1">
      <c r="A5" s="93"/>
    </row>
    <row r="6" ht="42" customHeight="1">
      <c r="A6" s="146"/>
    </row>
    <row r="7" spans="1:4" ht="18.75" customHeight="1">
      <c r="A7" s="147"/>
      <c r="D7" s="90" t="s">
        <v>199</v>
      </c>
    </row>
    <row r="8" s="87" customFormat="1" ht="18">
      <c r="A8" s="109" t="s">
        <v>1696</v>
      </c>
    </row>
    <row r="9" ht="18">
      <c r="A9" s="93"/>
    </row>
    <row r="10" spans="1:2" s="119" customFormat="1" ht="15">
      <c r="A10" s="117">
        <v>1</v>
      </c>
      <c r="B10" s="119" t="s">
        <v>520</v>
      </c>
    </row>
    <row r="11" spans="2:4" s="130" customFormat="1" ht="12.75" hidden="1" outlineLevel="1">
      <c r="B11" s="185" t="s">
        <v>324</v>
      </c>
      <c r="C11" s="185" t="s">
        <v>189</v>
      </c>
      <c r="D11" s="237" t="s">
        <v>521</v>
      </c>
    </row>
    <row r="12" spans="2:4" ht="12.75" hidden="1" outlineLevel="1">
      <c r="B12" s="91" t="s">
        <v>140</v>
      </c>
      <c r="C12" s="89" t="s">
        <v>341</v>
      </c>
      <c r="D12" s="267" t="s">
        <v>389</v>
      </c>
    </row>
    <row r="13" spans="2:4" ht="12.75" hidden="1" outlineLevel="1">
      <c r="B13" s="91" t="s">
        <v>332</v>
      </c>
      <c r="C13" s="89" t="s">
        <v>554</v>
      </c>
      <c r="D13" s="267" t="s">
        <v>532</v>
      </c>
    </row>
    <row r="14" spans="2:4" ht="12.75" hidden="1" outlineLevel="1">
      <c r="B14" s="91" t="s">
        <v>332</v>
      </c>
      <c r="C14" s="89" t="s">
        <v>436</v>
      </c>
      <c r="D14" s="267" t="s">
        <v>533</v>
      </c>
    </row>
    <row r="15" spans="2:4" ht="12.75" hidden="1" outlineLevel="1">
      <c r="B15" s="91" t="s">
        <v>332</v>
      </c>
      <c r="C15" s="89" t="s">
        <v>286</v>
      </c>
      <c r="D15" s="267" t="s">
        <v>534</v>
      </c>
    </row>
    <row r="16" spans="2:4" ht="12.75" hidden="1" outlineLevel="1">
      <c r="B16" s="91" t="s">
        <v>141</v>
      </c>
      <c r="C16" s="89" t="s">
        <v>445</v>
      </c>
      <c r="D16" s="267" t="s">
        <v>392</v>
      </c>
    </row>
    <row r="17" spans="2:4" ht="12.75" hidden="1" outlineLevel="1">
      <c r="B17" s="91" t="s">
        <v>146</v>
      </c>
      <c r="C17" s="89" t="s">
        <v>349</v>
      </c>
      <c r="D17" s="267" t="s">
        <v>535</v>
      </c>
    </row>
    <row r="18" spans="2:4" ht="12.75" hidden="1" outlineLevel="1">
      <c r="B18" s="91" t="s">
        <v>146</v>
      </c>
      <c r="C18" s="89" t="s">
        <v>550</v>
      </c>
      <c r="D18" s="267" t="s">
        <v>536</v>
      </c>
    </row>
    <row r="19" spans="2:4" ht="12.75" hidden="1" outlineLevel="1">
      <c r="B19" s="91" t="s">
        <v>142</v>
      </c>
      <c r="C19" s="89" t="s">
        <v>343</v>
      </c>
      <c r="D19" s="267" t="s">
        <v>396</v>
      </c>
    </row>
    <row r="20" spans="2:4" ht="12.75" hidden="1" outlineLevel="1">
      <c r="B20" s="91" t="s">
        <v>143</v>
      </c>
      <c r="C20" s="89" t="s">
        <v>437</v>
      </c>
      <c r="D20" s="267" t="s">
        <v>398</v>
      </c>
    </row>
    <row r="21" spans="2:4" ht="12.75" hidden="1" outlineLevel="1">
      <c r="B21" s="91" t="s">
        <v>143</v>
      </c>
      <c r="C21" s="89" t="s">
        <v>287</v>
      </c>
      <c r="D21" s="267" t="s">
        <v>537</v>
      </c>
    </row>
    <row r="22" spans="2:4" ht="12.75" hidden="1" outlineLevel="1">
      <c r="B22" s="91" t="s">
        <v>144</v>
      </c>
      <c r="C22" s="89" t="s">
        <v>438</v>
      </c>
      <c r="D22" s="234" t="s">
        <v>1710</v>
      </c>
    </row>
    <row r="23" spans="2:4" ht="12.75" hidden="1" outlineLevel="1">
      <c r="B23" s="91" t="s">
        <v>153</v>
      </c>
      <c r="C23" s="89" t="s">
        <v>444</v>
      </c>
      <c r="D23" s="267" t="s">
        <v>524</v>
      </c>
    </row>
    <row r="24" spans="2:4" ht="12.75" hidden="1" outlineLevel="1">
      <c r="B24" s="91" t="s">
        <v>153</v>
      </c>
      <c r="C24" s="89" t="s">
        <v>446</v>
      </c>
      <c r="D24" s="267" t="s">
        <v>401</v>
      </c>
    </row>
    <row r="25" spans="2:4" ht="12.75" hidden="1" outlineLevel="1">
      <c r="B25" s="91" t="s">
        <v>139</v>
      </c>
      <c r="C25" s="89" t="s">
        <v>551</v>
      </c>
      <c r="D25" s="267" t="s">
        <v>531</v>
      </c>
    </row>
    <row r="26" spans="2:4" ht="12.75" hidden="1" outlineLevel="1">
      <c r="B26" s="91" t="s">
        <v>148</v>
      </c>
      <c r="C26" s="89" t="s">
        <v>552</v>
      </c>
      <c r="D26" s="267" t="s">
        <v>503</v>
      </c>
    </row>
    <row r="27" spans="2:4" ht="12.75" hidden="1" outlineLevel="1">
      <c r="B27" s="91" t="s">
        <v>154</v>
      </c>
      <c r="C27" s="89" t="s">
        <v>352</v>
      </c>
      <c r="D27" s="267" t="s">
        <v>525</v>
      </c>
    </row>
    <row r="28" spans="2:4" ht="12.75" hidden="1" outlineLevel="1">
      <c r="B28" s="91" t="s">
        <v>154</v>
      </c>
      <c r="C28" s="89" t="s">
        <v>342</v>
      </c>
      <c r="D28" s="267" t="s">
        <v>505</v>
      </c>
    </row>
    <row r="29" spans="2:4" ht="12.75" hidden="1" outlineLevel="1">
      <c r="B29" s="91" t="s">
        <v>336</v>
      </c>
      <c r="C29" s="89" t="s">
        <v>281</v>
      </c>
      <c r="D29" s="267" t="s">
        <v>507</v>
      </c>
    </row>
    <row r="30" spans="2:4" ht="12.75" hidden="1" outlineLevel="1">
      <c r="B30" s="91" t="s">
        <v>334</v>
      </c>
      <c r="C30" s="89" t="s">
        <v>350</v>
      </c>
      <c r="D30" s="267" t="s">
        <v>526</v>
      </c>
    </row>
    <row r="31" spans="2:4" ht="12.75" hidden="1" outlineLevel="1">
      <c r="B31" s="91" t="s">
        <v>145</v>
      </c>
      <c r="C31" s="89" t="s">
        <v>439</v>
      </c>
      <c r="D31" s="267" t="s">
        <v>527</v>
      </c>
    </row>
    <row r="32" spans="2:4" ht="12.75" hidden="1" outlineLevel="1">
      <c r="B32" s="91" t="s">
        <v>335</v>
      </c>
      <c r="C32" s="89" t="s">
        <v>283</v>
      </c>
      <c r="D32" s="267" t="s">
        <v>509</v>
      </c>
    </row>
    <row r="33" spans="2:4" ht="12.75" hidden="1" outlineLevel="1">
      <c r="B33" s="91" t="s">
        <v>152</v>
      </c>
      <c r="C33" s="89" t="s">
        <v>408</v>
      </c>
      <c r="D33" s="267" t="s">
        <v>510</v>
      </c>
    </row>
    <row r="34" spans="2:4" ht="12.75" hidden="1" outlineLevel="1">
      <c r="B34" s="91" t="s">
        <v>149</v>
      </c>
      <c r="C34" s="89" t="s">
        <v>277</v>
      </c>
      <c r="D34" s="267" t="s">
        <v>523</v>
      </c>
    </row>
    <row r="35" spans="2:4" ht="12.75" hidden="1" outlineLevel="1">
      <c r="B35" s="91" t="s">
        <v>150</v>
      </c>
      <c r="C35" s="89" t="s">
        <v>278</v>
      </c>
      <c r="D35" s="267" t="s">
        <v>530</v>
      </c>
    </row>
    <row r="36" spans="2:4" ht="12.75" hidden="1" outlineLevel="1">
      <c r="B36" s="91" t="s">
        <v>155</v>
      </c>
      <c r="C36" s="89" t="s">
        <v>351</v>
      </c>
      <c r="D36" s="267" t="s">
        <v>522</v>
      </c>
    </row>
    <row r="37" spans="2:4" ht="12.75" hidden="1" outlineLevel="1">
      <c r="B37" s="91" t="s">
        <v>155</v>
      </c>
      <c r="C37" s="89" t="s">
        <v>279</v>
      </c>
      <c r="D37" s="267" t="s">
        <v>514</v>
      </c>
    </row>
    <row r="38" spans="2:4" ht="12.75" hidden="1" outlineLevel="1">
      <c r="B38" s="91" t="s">
        <v>147</v>
      </c>
      <c r="C38" s="89" t="s">
        <v>353</v>
      </c>
      <c r="D38" s="267" t="s">
        <v>516</v>
      </c>
    </row>
    <row r="39" spans="2:4" ht="12.75" hidden="1" outlineLevel="1">
      <c r="B39" s="91" t="s">
        <v>151</v>
      </c>
      <c r="C39" s="89" t="s">
        <v>282</v>
      </c>
      <c r="D39" s="267" t="s">
        <v>528</v>
      </c>
    </row>
    <row r="40" spans="2:4" ht="12.75" hidden="1" outlineLevel="1">
      <c r="B40" s="91" t="s">
        <v>337</v>
      </c>
      <c r="C40" s="89" t="s">
        <v>553</v>
      </c>
      <c r="D40" s="267" t="s">
        <v>529</v>
      </c>
    </row>
    <row r="41" spans="2:4" ht="12.75" hidden="1" outlineLevel="1">
      <c r="B41" s="91" t="s">
        <v>156</v>
      </c>
      <c r="C41" s="89" t="s">
        <v>288</v>
      </c>
      <c r="D41" s="267" t="s">
        <v>518</v>
      </c>
    </row>
    <row r="42" ht="12.75" collapsed="1"/>
    <row r="43" spans="1:2" s="119" customFormat="1" ht="15">
      <c r="A43" s="117">
        <v>2</v>
      </c>
      <c r="B43" s="119" t="s">
        <v>538</v>
      </c>
    </row>
    <row r="44" spans="2:6" s="130" customFormat="1" ht="12.75" hidden="1" outlineLevel="1">
      <c r="B44" s="185" t="s">
        <v>324</v>
      </c>
      <c r="C44" s="185" t="s">
        <v>189</v>
      </c>
      <c r="D44" s="131" t="s">
        <v>539</v>
      </c>
      <c r="E44" s="131" t="s">
        <v>540</v>
      </c>
      <c r="F44" s="131" t="s">
        <v>541</v>
      </c>
    </row>
    <row r="45" spans="2:6" ht="12.75" hidden="1" outlineLevel="1">
      <c r="B45" s="91" t="s">
        <v>140</v>
      </c>
      <c r="C45" s="90" t="s">
        <v>341</v>
      </c>
      <c r="D45" s="223" t="s">
        <v>201</v>
      </c>
      <c r="E45" s="223" t="s">
        <v>201</v>
      </c>
      <c r="F45" s="89"/>
    </row>
    <row r="46" spans="2:6" ht="12.75" hidden="1" outlineLevel="1">
      <c r="B46" s="91" t="s">
        <v>332</v>
      </c>
      <c r="C46" s="90" t="s">
        <v>554</v>
      </c>
      <c r="D46" s="223"/>
      <c r="E46" s="223"/>
      <c r="F46" s="89"/>
    </row>
    <row r="47" spans="2:6" ht="12.75" hidden="1" outlineLevel="1">
      <c r="B47" s="91" t="s">
        <v>332</v>
      </c>
      <c r="C47" s="90" t="s">
        <v>436</v>
      </c>
      <c r="D47" s="223" t="s">
        <v>201</v>
      </c>
      <c r="E47" s="223" t="s">
        <v>201</v>
      </c>
      <c r="F47" s="89"/>
    </row>
    <row r="48" spans="2:6" ht="12.75" hidden="1" outlineLevel="1">
      <c r="B48" s="91" t="s">
        <v>332</v>
      </c>
      <c r="C48" s="90" t="s">
        <v>286</v>
      </c>
      <c r="D48" s="223" t="s">
        <v>201</v>
      </c>
      <c r="E48" s="223" t="s">
        <v>201</v>
      </c>
      <c r="F48" s="89" t="s">
        <v>391</v>
      </c>
    </row>
    <row r="49" spans="2:6" ht="12.75" hidden="1" outlineLevel="1">
      <c r="B49" s="91" t="s">
        <v>141</v>
      </c>
      <c r="C49" s="90" t="s">
        <v>445</v>
      </c>
      <c r="D49" s="223" t="s">
        <v>201</v>
      </c>
      <c r="E49" s="223" t="s">
        <v>201</v>
      </c>
      <c r="F49" s="89"/>
    </row>
    <row r="50" spans="2:6" ht="12.75" hidden="1" outlineLevel="1">
      <c r="B50" s="91" t="s">
        <v>146</v>
      </c>
      <c r="C50" s="90" t="s">
        <v>349</v>
      </c>
      <c r="D50" s="223" t="s">
        <v>201</v>
      </c>
      <c r="E50" s="223" t="s">
        <v>201</v>
      </c>
      <c r="F50" s="89" t="s">
        <v>1659</v>
      </c>
    </row>
    <row r="51" spans="2:6" ht="12.75" hidden="1" outlineLevel="1">
      <c r="B51" s="91" t="s">
        <v>146</v>
      </c>
      <c r="C51" s="90" t="s">
        <v>550</v>
      </c>
      <c r="D51" s="223" t="s">
        <v>201</v>
      </c>
      <c r="E51" s="223" t="s">
        <v>201</v>
      </c>
      <c r="F51" s="89" t="s">
        <v>395</v>
      </c>
    </row>
    <row r="52" spans="2:6" ht="12.75" hidden="1" outlineLevel="1">
      <c r="B52" s="91" t="s">
        <v>142</v>
      </c>
      <c r="C52" s="90" t="s">
        <v>343</v>
      </c>
      <c r="D52" s="223" t="s">
        <v>201</v>
      </c>
      <c r="E52" s="223" t="s">
        <v>201</v>
      </c>
      <c r="F52" s="89" t="s">
        <v>397</v>
      </c>
    </row>
    <row r="53" spans="2:6" ht="12.75" hidden="1" outlineLevel="1">
      <c r="B53" s="91" t="s">
        <v>143</v>
      </c>
      <c r="C53" s="90" t="s">
        <v>437</v>
      </c>
      <c r="D53" s="223"/>
      <c r="E53" s="223" t="s">
        <v>201</v>
      </c>
      <c r="F53" s="89" t="s">
        <v>1643</v>
      </c>
    </row>
    <row r="54" spans="2:6" ht="12.75" hidden="1" outlineLevel="1">
      <c r="B54" s="91" t="s">
        <v>143</v>
      </c>
      <c r="C54" s="90" t="s">
        <v>287</v>
      </c>
      <c r="D54" s="223" t="s">
        <v>201</v>
      </c>
      <c r="E54" s="223" t="s">
        <v>201</v>
      </c>
      <c r="F54" s="89" t="s">
        <v>1610</v>
      </c>
    </row>
    <row r="55" spans="2:6" ht="12.75" hidden="1" outlineLevel="1">
      <c r="B55" s="91" t="s">
        <v>144</v>
      </c>
      <c r="C55" s="90" t="s">
        <v>438</v>
      </c>
      <c r="D55" s="223"/>
      <c r="E55" s="223"/>
      <c r="F55" s="89"/>
    </row>
    <row r="56" spans="2:6" ht="12.75" hidden="1" outlineLevel="1">
      <c r="B56" s="91" t="s">
        <v>153</v>
      </c>
      <c r="C56" s="90" t="s">
        <v>444</v>
      </c>
      <c r="D56" s="223" t="s">
        <v>201</v>
      </c>
      <c r="E56" s="223"/>
      <c r="F56" s="89"/>
    </row>
    <row r="57" spans="2:6" ht="12.75" hidden="1" outlineLevel="1">
      <c r="B57" s="91" t="s">
        <v>153</v>
      </c>
      <c r="C57" s="90" t="s">
        <v>446</v>
      </c>
      <c r="D57" s="223" t="s">
        <v>201</v>
      </c>
      <c r="E57" s="223" t="s">
        <v>201</v>
      </c>
      <c r="F57" s="89" t="s">
        <v>391</v>
      </c>
    </row>
    <row r="58" spans="2:6" ht="12.75" hidden="1" outlineLevel="1">
      <c r="B58" s="91" t="s">
        <v>139</v>
      </c>
      <c r="C58" s="90" t="s">
        <v>551</v>
      </c>
      <c r="D58" s="223" t="s">
        <v>201</v>
      </c>
      <c r="E58" s="223" t="s">
        <v>201</v>
      </c>
      <c r="F58" s="89" t="s">
        <v>499</v>
      </c>
    </row>
    <row r="59" spans="2:6" ht="12.75" hidden="1" outlineLevel="1">
      <c r="B59" s="91" t="s">
        <v>148</v>
      </c>
      <c r="C59" s="90" t="s">
        <v>552</v>
      </c>
      <c r="D59" s="223" t="s">
        <v>201</v>
      </c>
      <c r="E59" s="223" t="s">
        <v>201</v>
      </c>
      <c r="F59" s="89"/>
    </row>
    <row r="60" spans="2:6" ht="12.75" hidden="1" outlineLevel="1">
      <c r="B60" s="91" t="s">
        <v>154</v>
      </c>
      <c r="C60" s="90" t="s">
        <v>352</v>
      </c>
      <c r="D60" s="223" t="s">
        <v>201</v>
      </c>
      <c r="E60" s="223" t="s">
        <v>201</v>
      </c>
      <c r="F60" s="89" t="s">
        <v>504</v>
      </c>
    </row>
    <row r="61" spans="2:6" ht="12.75" hidden="1" outlineLevel="1">
      <c r="B61" s="91" t="s">
        <v>154</v>
      </c>
      <c r="C61" s="90" t="s">
        <v>342</v>
      </c>
      <c r="D61" s="223" t="s">
        <v>201</v>
      </c>
      <c r="E61" s="223" t="s">
        <v>201</v>
      </c>
      <c r="F61" s="89" t="s">
        <v>506</v>
      </c>
    </row>
    <row r="62" spans="2:6" ht="12.75" hidden="1" outlineLevel="1">
      <c r="B62" s="91" t="s">
        <v>336</v>
      </c>
      <c r="C62" s="90" t="s">
        <v>281</v>
      </c>
      <c r="D62" s="223" t="s">
        <v>201</v>
      </c>
      <c r="E62" s="223" t="s">
        <v>201</v>
      </c>
      <c r="F62" s="89"/>
    </row>
    <row r="63" spans="2:6" ht="12.75" hidden="1" outlineLevel="1">
      <c r="B63" s="91" t="s">
        <v>334</v>
      </c>
      <c r="C63" s="90" t="s">
        <v>350</v>
      </c>
      <c r="D63" s="223" t="s">
        <v>201</v>
      </c>
      <c r="E63" s="223" t="s">
        <v>201</v>
      </c>
      <c r="F63" s="89"/>
    </row>
    <row r="64" spans="2:6" ht="12.75" hidden="1" outlineLevel="1">
      <c r="B64" s="91" t="s">
        <v>145</v>
      </c>
      <c r="C64" s="90" t="s">
        <v>439</v>
      </c>
      <c r="D64" s="223" t="s">
        <v>201</v>
      </c>
      <c r="E64" s="223" t="s">
        <v>201</v>
      </c>
      <c r="F64" s="89" t="s">
        <v>508</v>
      </c>
    </row>
    <row r="65" spans="2:6" ht="12.75" hidden="1" outlineLevel="1">
      <c r="B65" s="91" t="s">
        <v>335</v>
      </c>
      <c r="C65" s="90" t="s">
        <v>283</v>
      </c>
      <c r="D65" s="223"/>
      <c r="E65" s="223"/>
      <c r="F65" s="89" t="s">
        <v>506</v>
      </c>
    </row>
    <row r="66" spans="2:6" ht="12.75" hidden="1" outlineLevel="1">
      <c r="B66" s="91" t="s">
        <v>152</v>
      </c>
      <c r="C66" s="90" t="s">
        <v>408</v>
      </c>
      <c r="D66" s="223" t="s">
        <v>201</v>
      </c>
      <c r="E66" s="223" t="s">
        <v>201</v>
      </c>
      <c r="F66" s="89"/>
    </row>
    <row r="67" spans="2:6" ht="12.75" hidden="1" outlineLevel="1">
      <c r="B67" s="91" t="s">
        <v>149</v>
      </c>
      <c r="C67" s="90" t="s">
        <v>277</v>
      </c>
      <c r="D67" s="223" t="s">
        <v>201</v>
      </c>
      <c r="E67" s="223" t="s">
        <v>201</v>
      </c>
      <c r="F67" s="89" t="s">
        <v>506</v>
      </c>
    </row>
    <row r="68" spans="2:6" ht="12.75" hidden="1" outlineLevel="1">
      <c r="B68" s="91" t="s">
        <v>150</v>
      </c>
      <c r="C68" s="90" t="s">
        <v>278</v>
      </c>
      <c r="D68" s="223" t="s">
        <v>201</v>
      </c>
      <c r="E68" s="223" t="s">
        <v>201</v>
      </c>
      <c r="F68" s="89"/>
    </row>
    <row r="69" spans="2:6" ht="12.75" hidden="1" outlineLevel="1">
      <c r="B69" s="91" t="s">
        <v>155</v>
      </c>
      <c r="C69" s="90" t="s">
        <v>351</v>
      </c>
      <c r="D69" s="223" t="s">
        <v>201</v>
      </c>
      <c r="E69" s="223" t="s">
        <v>201</v>
      </c>
      <c r="F69" s="89"/>
    </row>
    <row r="70" spans="2:6" ht="12.75" hidden="1" outlineLevel="1">
      <c r="B70" s="91" t="s">
        <v>155</v>
      </c>
      <c r="C70" s="90" t="s">
        <v>279</v>
      </c>
      <c r="D70" s="223" t="s">
        <v>201</v>
      </c>
      <c r="E70" s="223" t="s">
        <v>201</v>
      </c>
      <c r="F70" s="89" t="s">
        <v>515</v>
      </c>
    </row>
    <row r="71" spans="2:6" ht="12.75" hidden="1" outlineLevel="1">
      <c r="B71" s="91" t="s">
        <v>147</v>
      </c>
      <c r="C71" s="90" t="s">
        <v>353</v>
      </c>
      <c r="D71" s="223"/>
      <c r="E71" s="223"/>
      <c r="F71" s="89"/>
    </row>
    <row r="72" spans="2:6" ht="12.75" hidden="1" outlineLevel="1">
      <c r="B72" s="91" t="s">
        <v>151</v>
      </c>
      <c r="C72" s="90" t="s">
        <v>282</v>
      </c>
      <c r="D72" s="223" t="s">
        <v>201</v>
      </c>
      <c r="E72" s="223" t="s">
        <v>201</v>
      </c>
      <c r="F72" s="89"/>
    </row>
    <row r="73" spans="2:6" ht="12.75" hidden="1" outlineLevel="1">
      <c r="B73" s="91" t="s">
        <v>337</v>
      </c>
      <c r="C73" s="90" t="s">
        <v>553</v>
      </c>
      <c r="D73" s="223" t="s">
        <v>201</v>
      </c>
      <c r="E73" s="223" t="s">
        <v>201</v>
      </c>
      <c r="F73" s="89" t="s">
        <v>517</v>
      </c>
    </row>
    <row r="74" spans="2:6" ht="12.75" hidden="1" outlineLevel="1">
      <c r="B74" s="91" t="s">
        <v>156</v>
      </c>
      <c r="C74" s="90" t="s">
        <v>288</v>
      </c>
      <c r="D74" s="223" t="s">
        <v>201</v>
      </c>
      <c r="E74" s="223" t="s">
        <v>201</v>
      </c>
      <c r="F74" s="89"/>
    </row>
    <row r="75" ht="12.75" collapsed="1"/>
    <row r="76" s="107" customFormat="1" ht="12.75">
      <c r="B76" s="107" t="str">
        <f>CONCATENATE(D44," = ",COUNTA(D45:D74),"  (",TEXT((COUNTA(D45:D74)/ROWS(D45:D74)),"#%"),")")</f>
        <v>Twitter = 25  (83%)</v>
      </c>
    </row>
    <row r="77" s="107" customFormat="1" ht="12.75">
      <c r="B77" s="107" t="str">
        <f>CONCATENATE(E44," = ",COUNTA(E45:E74),"  (",TEXT((COUNTA(E45:E74)/ROWS(E45:E74)),"#%"),")")</f>
        <v>Facebook = 25  (83%)</v>
      </c>
    </row>
    <row r="78" s="107" customFormat="1" ht="12.75">
      <c r="B78" s="107" t="str">
        <f>CONCATENATE(F44," = ",COUNTA(F45:F74),"  (",TEXT((COUNTA(F45:F74)/ROWS(F45:F74)),"#%"),")")</f>
        <v>Other Social Media = 15  (50%)</v>
      </c>
    </row>
    <row r="80" spans="1:2" s="119" customFormat="1" ht="15">
      <c r="A80" s="117">
        <v>3</v>
      </c>
      <c r="B80" s="119" t="s">
        <v>542</v>
      </c>
    </row>
    <row r="81" spans="2:4" s="130" customFormat="1" ht="12.75" hidden="1" outlineLevel="1">
      <c r="B81" s="185" t="s">
        <v>324</v>
      </c>
      <c r="C81" s="185" t="s">
        <v>189</v>
      </c>
      <c r="D81" s="131" t="s">
        <v>462</v>
      </c>
    </row>
    <row r="82" spans="2:4" ht="12.75" hidden="1" outlineLevel="1">
      <c r="B82" s="91" t="s">
        <v>140</v>
      </c>
      <c r="C82" s="90" t="s">
        <v>341</v>
      </c>
      <c r="D82" s="90" t="s">
        <v>543</v>
      </c>
    </row>
    <row r="83" spans="2:3" ht="12.75" hidden="1" outlineLevel="1">
      <c r="B83" s="91" t="s">
        <v>332</v>
      </c>
      <c r="C83" s="90" t="s">
        <v>554</v>
      </c>
    </row>
    <row r="84" spans="2:4" ht="12.75" hidden="1" outlineLevel="1">
      <c r="B84" s="91" t="s">
        <v>332</v>
      </c>
      <c r="C84" s="90" t="s">
        <v>436</v>
      </c>
      <c r="D84" s="90" t="s">
        <v>600</v>
      </c>
    </row>
    <row r="85" spans="2:4" ht="12.75" hidden="1" outlineLevel="1">
      <c r="B85" s="91" t="s">
        <v>332</v>
      </c>
      <c r="C85" s="90" t="s">
        <v>286</v>
      </c>
      <c r="D85" s="90" t="s">
        <v>601</v>
      </c>
    </row>
    <row r="86" spans="2:4" ht="12.75" hidden="1" outlineLevel="1">
      <c r="B86" s="91" t="s">
        <v>141</v>
      </c>
      <c r="C86" s="90" t="s">
        <v>445</v>
      </c>
      <c r="D86" s="90" t="s">
        <v>602</v>
      </c>
    </row>
    <row r="87" spans="2:4" ht="12.75" hidden="1" outlineLevel="1">
      <c r="B87" s="91" t="s">
        <v>146</v>
      </c>
      <c r="C87" s="90" t="s">
        <v>349</v>
      </c>
      <c r="D87" s="90" t="s">
        <v>603</v>
      </c>
    </row>
    <row r="88" spans="2:4" ht="12.75" hidden="1" outlineLevel="1">
      <c r="B88" s="91" t="s">
        <v>146</v>
      </c>
      <c r="C88" s="90" t="s">
        <v>550</v>
      </c>
      <c r="D88" s="90" t="s">
        <v>604</v>
      </c>
    </row>
    <row r="89" spans="2:4" ht="12.75" hidden="1" outlineLevel="1">
      <c r="B89" s="91" t="s">
        <v>142</v>
      </c>
      <c r="C89" s="90" t="s">
        <v>343</v>
      </c>
      <c r="D89" s="90" t="s">
        <v>605</v>
      </c>
    </row>
    <row r="90" spans="2:3" ht="12.75" hidden="1" outlineLevel="1">
      <c r="B90" s="91" t="s">
        <v>143</v>
      </c>
      <c r="C90" s="90" t="s">
        <v>437</v>
      </c>
    </row>
    <row r="91" spans="2:4" ht="12.75" hidden="1" outlineLevel="1">
      <c r="B91" s="91" t="s">
        <v>143</v>
      </c>
      <c r="C91" s="90" t="s">
        <v>287</v>
      </c>
      <c r="D91" s="232" t="s">
        <v>1609</v>
      </c>
    </row>
    <row r="92" spans="2:3" ht="12.75" hidden="1" outlineLevel="1">
      <c r="B92" s="91" t="s">
        <v>144</v>
      </c>
      <c r="C92" s="90" t="s">
        <v>438</v>
      </c>
    </row>
    <row r="93" spans="2:4" ht="12.75" hidden="1" outlineLevel="1">
      <c r="B93" s="91" t="s">
        <v>153</v>
      </c>
      <c r="C93" s="90" t="s">
        <v>444</v>
      </c>
      <c r="D93" s="90" t="s">
        <v>546</v>
      </c>
    </row>
    <row r="94" spans="2:4" ht="12.75" hidden="1" outlineLevel="1">
      <c r="B94" s="91" t="s">
        <v>153</v>
      </c>
      <c r="C94" s="90" t="s">
        <v>446</v>
      </c>
      <c r="D94" s="90" t="s">
        <v>547</v>
      </c>
    </row>
    <row r="95" spans="2:4" ht="12.75" hidden="1" outlineLevel="1">
      <c r="B95" s="91" t="s">
        <v>139</v>
      </c>
      <c r="C95" s="90" t="s">
        <v>551</v>
      </c>
      <c r="D95" s="90" t="s">
        <v>606</v>
      </c>
    </row>
    <row r="96" spans="2:4" ht="12.75" hidden="1" outlineLevel="1">
      <c r="B96" s="91" t="s">
        <v>148</v>
      </c>
      <c r="C96" s="90" t="s">
        <v>552</v>
      </c>
      <c r="D96" s="90" t="s">
        <v>607</v>
      </c>
    </row>
    <row r="97" spans="2:4" ht="12.75" hidden="1" outlineLevel="1">
      <c r="B97" s="91" t="s">
        <v>154</v>
      </c>
      <c r="C97" s="90" t="s">
        <v>352</v>
      </c>
      <c r="D97" s="90" t="s">
        <v>608</v>
      </c>
    </row>
    <row r="98" spans="2:4" ht="12.75" hidden="1" outlineLevel="1">
      <c r="B98" s="91" t="s">
        <v>154</v>
      </c>
      <c r="C98" s="90" t="s">
        <v>342</v>
      </c>
      <c r="D98" s="90" t="s">
        <v>452</v>
      </c>
    </row>
    <row r="99" spans="2:4" ht="12.75" hidden="1" outlineLevel="1">
      <c r="B99" s="91" t="s">
        <v>336</v>
      </c>
      <c r="C99" s="90" t="s">
        <v>281</v>
      </c>
      <c r="D99" s="232" t="s">
        <v>1606</v>
      </c>
    </row>
    <row r="100" spans="2:4" ht="12.75" hidden="1" outlineLevel="1">
      <c r="B100" s="91" t="s">
        <v>334</v>
      </c>
      <c r="C100" s="90" t="s">
        <v>350</v>
      </c>
      <c r="D100" s="90" t="s">
        <v>453</v>
      </c>
    </row>
    <row r="101" spans="2:4" ht="12.75" hidden="1" outlineLevel="1">
      <c r="B101" s="91" t="s">
        <v>145</v>
      </c>
      <c r="C101" s="90" t="s">
        <v>439</v>
      </c>
      <c r="D101" s="90" t="s">
        <v>454</v>
      </c>
    </row>
    <row r="102" spans="2:3" ht="12.75" hidden="1" outlineLevel="1">
      <c r="B102" s="91" t="s">
        <v>335</v>
      </c>
      <c r="C102" s="90" t="s">
        <v>283</v>
      </c>
    </row>
    <row r="103" spans="2:4" ht="12.75" hidden="1" outlineLevel="1">
      <c r="B103" s="91" t="s">
        <v>152</v>
      </c>
      <c r="C103" s="90" t="s">
        <v>408</v>
      </c>
      <c r="D103" s="90" t="s">
        <v>455</v>
      </c>
    </row>
    <row r="104" spans="2:4" ht="12.75" hidden="1" outlineLevel="1">
      <c r="B104" s="91" t="s">
        <v>149</v>
      </c>
      <c r="C104" s="90" t="s">
        <v>277</v>
      </c>
      <c r="D104" s="232" t="s">
        <v>1605</v>
      </c>
    </row>
    <row r="105" spans="2:4" ht="12.75" hidden="1" outlineLevel="1">
      <c r="B105" s="91" t="s">
        <v>150</v>
      </c>
      <c r="C105" s="90" t="s">
        <v>278</v>
      </c>
      <c r="D105" s="90" t="s">
        <v>456</v>
      </c>
    </row>
    <row r="106" spans="2:4" ht="12.75" hidden="1" outlineLevel="1">
      <c r="B106" s="91" t="s">
        <v>155</v>
      </c>
      <c r="C106" s="90" t="s">
        <v>351</v>
      </c>
      <c r="D106" s="90" t="s">
        <v>457</v>
      </c>
    </row>
    <row r="107" spans="2:4" ht="12.75" hidden="1" outlineLevel="1">
      <c r="B107" s="91" t="s">
        <v>155</v>
      </c>
      <c r="C107" s="90" t="s">
        <v>279</v>
      </c>
      <c r="D107" s="90" t="s">
        <v>458</v>
      </c>
    </row>
    <row r="108" spans="2:3" ht="12.75" hidden="1" outlineLevel="1">
      <c r="B108" s="91" t="s">
        <v>147</v>
      </c>
      <c r="C108" s="90" t="s">
        <v>353</v>
      </c>
    </row>
    <row r="109" spans="2:4" ht="12.75" hidden="1" outlineLevel="1">
      <c r="B109" s="91" t="s">
        <v>151</v>
      </c>
      <c r="C109" s="90" t="s">
        <v>282</v>
      </c>
      <c r="D109" s="90" t="s">
        <v>459</v>
      </c>
    </row>
    <row r="110" spans="2:4" ht="12.75" hidden="1" outlineLevel="1">
      <c r="B110" s="91" t="s">
        <v>337</v>
      </c>
      <c r="C110" s="90" t="s">
        <v>553</v>
      </c>
      <c r="D110" s="90" t="s">
        <v>460</v>
      </c>
    </row>
    <row r="111" spans="2:4" ht="12.75" hidden="1" outlineLevel="1">
      <c r="B111" s="91" t="s">
        <v>156</v>
      </c>
      <c r="C111" s="90" t="s">
        <v>288</v>
      </c>
      <c r="D111" s="90" t="s">
        <v>461</v>
      </c>
    </row>
    <row r="112" ht="12.75" collapsed="1"/>
    <row r="113" spans="1:2" s="119" customFormat="1" ht="15">
      <c r="A113" s="117">
        <v>4</v>
      </c>
      <c r="B113" s="119" t="s">
        <v>464</v>
      </c>
    </row>
    <row r="114" spans="2:4" s="130" customFormat="1" ht="12.75" hidden="1" outlineLevel="1">
      <c r="B114" s="185" t="s">
        <v>324</v>
      </c>
      <c r="C114" s="185" t="s">
        <v>189</v>
      </c>
      <c r="D114" s="131" t="s">
        <v>465</v>
      </c>
    </row>
    <row r="115" spans="2:4" ht="12.75" hidden="1" outlineLevel="1">
      <c r="B115" s="91" t="s">
        <v>140</v>
      </c>
      <c r="C115" s="90" t="s">
        <v>341</v>
      </c>
      <c r="D115" s="223" t="s">
        <v>201</v>
      </c>
    </row>
    <row r="116" spans="2:4" ht="12.75" hidden="1" outlineLevel="1">
      <c r="B116" s="91" t="s">
        <v>332</v>
      </c>
      <c r="C116" s="90" t="s">
        <v>554</v>
      </c>
      <c r="D116" s="223" t="s">
        <v>201</v>
      </c>
    </row>
    <row r="117" spans="2:4" ht="12.75" hidden="1" outlineLevel="1">
      <c r="B117" s="91" t="s">
        <v>332</v>
      </c>
      <c r="C117" s="90" t="s">
        <v>436</v>
      </c>
      <c r="D117" s="223" t="s">
        <v>201</v>
      </c>
    </row>
    <row r="118" spans="2:4" ht="12.75" hidden="1" outlineLevel="1">
      <c r="B118" s="91" t="s">
        <v>332</v>
      </c>
      <c r="C118" s="90" t="s">
        <v>286</v>
      </c>
      <c r="D118" s="223" t="s">
        <v>201</v>
      </c>
    </row>
    <row r="119" spans="2:4" ht="12.75" hidden="1" outlineLevel="1">
      <c r="B119" s="91" t="s">
        <v>141</v>
      </c>
      <c r="C119" s="90" t="s">
        <v>445</v>
      </c>
      <c r="D119" s="223" t="s">
        <v>201</v>
      </c>
    </row>
    <row r="120" spans="2:4" ht="12.75" hidden="1" outlineLevel="1">
      <c r="B120" s="91" t="s">
        <v>146</v>
      </c>
      <c r="C120" s="90" t="s">
        <v>349</v>
      </c>
      <c r="D120" s="223" t="s">
        <v>201</v>
      </c>
    </row>
    <row r="121" spans="2:4" ht="12.75" hidden="1" outlineLevel="1">
      <c r="B121" s="91" t="s">
        <v>146</v>
      </c>
      <c r="C121" s="90" t="s">
        <v>550</v>
      </c>
      <c r="D121" s="223" t="s">
        <v>201</v>
      </c>
    </row>
    <row r="122" spans="2:4" ht="12.75" hidden="1" outlineLevel="1">
      <c r="B122" s="91" t="s">
        <v>142</v>
      </c>
      <c r="C122" s="90" t="s">
        <v>343</v>
      </c>
      <c r="D122" s="223" t="s">
        <v>201</v>
      </c>
    </row>
    <row r="123" spans="2:4" ht="12.75" hidden="1" outlineLevel="1">
      <c r="B123" s="91" t="s">
        <v>143</v>
      </c>
      <c r="C123" s="90" t="s">
        <v>437</v>
      </c>
      <c r="D123" s="223" t="s">
        <v>201</v>
      </c>
    </row>
    <row r="124" spans="2:4" ht="12.75" hidden="1" outlineLevel="1">
      <c r="B124" s="91" t="s">
        <v>143</v>
      </c>
      <c r="C124" s="90" t="s">
        <v>287</v>
      </c>
      <c r="D124" s="223"/>
    </row>
    <row r="125" spans="2:4" ht="12.75" hidden="1" outlineLevel="1">
      <c r="B125" s="91" t="s">
        <v>144</v>
      </c>
      <c r="C125" s="90" t="s">
        <v>438</v>
      </c>
      <c r="D125" s="223"/>
    </row>
    <row r="126" spans="2:4" ht="12.75" hidden="1" outlineLevel="1">
      <c r="B126" s="91" t="s">
        <v>153</v>
      </c>
      <c r="C126" s="90" t="s">
        <v>444</v>
      </c>
      <c r="D126" s="223"/>
    </row>
    <row r="127" spans="2:4" ht="12.75" hidden="1" outlineLevel="1">
      <c r="B127" s="91" t="s">
        <v>153</v>
      </c>
      <c r="C127" s="90" t="s">
        <v>446</v>
      </c>
      <c r="D127" s="223" t="s">
        <v>201</v>
      </c>
    </row>
    <row r="128" spans="2:4" ht="12.75" hidden="1" outlineLevel="1">
      <c r="B128" s="91" t="s">
        <v>139</v>
      </c>
      <c r="C128" s="90" t="s">
        <v>551</v>
      </c>
      <c r="D128" s="223"/>
    </row>
    <row r="129" spans="2:4" ht="12.75" hidden="1" outlineLevel="1">
      <c r="B129" s="91" t="s">
        <v>148</v>
      </c>
      <c r="C129" s="90" t="s">
        <v>552</v>
      </c>
      <c r="D129" s="223" t="s">
        <v>201</v>
      </c>
    </row>
    <row r="130" spans="2:4" ht="12.75" hidden="1" outlineLevel="1">
      <c r="B130" s="91" t="s">
        <v>154</v>
      </c>
      <c r="C130" s="90" t="s">
        <v>352</v>
      </c>
      <c r="D130" s="223"/>
    </row>
    <row r="131" spans="2:4" ht="12.75" hidden="1" outlineLevel="1">
      <c r="B131" s="91" t="s">
        <v>154</v>
      </c>
      <c r="C131" s="90" t="s">
        <v>342</v>
      </c>
      <c r="D131" s="223" t="s">
        <v>201</v>
      </c>
    </row>
    <row r="132" spans="2:4" ht="12.75" hidden="1" outlineLevel="1">
      <c r="B132" s="91" t="s">
        <v>336</v>
      </c>
      <c r="C132" s="90" t="s">
        <v>281</v>
      </c>
      <c r="D132" s="223"/>
    </row>
    <row r="133" spans="2:4" ht="12.75" hidden="1" outlineLevel="1">
      <c r="B133" s="91" t="s">
        <v>334</v>
      </c>
      <c r="C133" s="90" t="s">
        <v>350</v>
      </c>
      <c r="D133" s="223" t="s">
        <v>201</v>
      </c>
    </row>
    <row r="134" spans="2:4" ht="12.75" hidden="1" outlineLevel="1">
      <c r="B134" s="91" t="s">
        <v>145</v>
      </c>
      <c r="C134" s="90" t="s">
        <v>439</v>
      </c>
      <c r="D134" s="223" t="s">
        <v>201</v>
      </c>
    </row>
    <row r="135" spans="2:4" ht="12.75" hidden="1" outlineLevel="1">
      <c r="B135" s="91" t="s">
        <v>335</v>
      </c>
      <c r="C135" s="90" t="s">
        <v>283</v>
      </c>
      <c r="D135" s="223"/>
    </row>
    <row r="136" spans="2:4" ht="12.75" hidden="1" outlineLevel="1">
      <c r="B136" s="91" t="s">
        <v>152</v>
      </c>
      <c r="C136" s="90" t="s">
        <v>408</v>
      </c>
      <c r="D136" s="223" t="s">
        <v>201</v>
      </c>
    </row>
    <row r="137" spans="2:4" ht="12.75" hidden="1" outlineLevel="1">
      <c r="B137" s="91" t="s">
        <v>149</v>
      </c>
      <c r="C137" s="90" t="s">
        <v>277</v>
      </c>
      <c r="D137" s="223"/>
    </row>
    <row r="138" spans="2:4" ht="12.75" hidden="1" outlineLevel="1">
      <c r="B138" s="91" t="s">
        <v>150</v>
      </c>
      <c r="C138" s="90" t="s">
        <v>278</v>
      </c>
      <c r="D138" s="223"/>
    </row>
    <row r="139" spans="2:4" ht="12.75" hidden="1" outlineLevel="1">
      <c r="B139" s="91" t="s">
        <v>155</v>
      </c>
      <c r="C139" s="90" t="s">
        <v>351</v>
      </c>
      <c r="D139" s="223" t="s">
        <v>201</v>
      </c>
    </row>
    <row r="140" spans="2:4" ht="12.75" hidden="1" outlineLevel="1">
      <c r="B140" s="91" t="s">
        <v>155</v>
      </c>
      <c r="C140" s="90" t="s">
        <v>279</v>
      </c>
      <c r="D140" s="223" t="s">
        <v>201</v>
      </c>
    </row>
    <row r="141" spans="2:4" ht="12.75" hidden="1" outlineLevel="1">
      <c r="B141" s="91" t="s">
        <v>147</v>
      </c>
      <c r="C141" s="90" t="s">
        <v>353</v>
      </c>
      <c r="D141" s="223"/>
    </row>
    <row r="142" spans="2:4" ht="12.75" hidden="1" outlineLevel="1">
      <c r="B142" s="91" t="s">
        <v>151</v>
      </c>
      <c r="C142" s="90" t="s">
        <v>282</v>
      </c>
      <c r="D142" s="223" t="s">
        <v>201</v>
      </c>
    </row>
    <row r="143" spans="2:4" ht="12.75" hidden="1" outlineLevel="1">
      <c r="B143" s="91" t="s">
        <v>337</v>
      </c>
      <c r="C143" s="90" t="s">
        <v>553</v>
      </c>
      <c r="D143" s="223"/>
    </row>
    <row r="144" spans="2:4" ht="12.75" hidden="1" outlineLevel="1">
      <c r="B144" s="91" t="s">
        <v>156</v>
      </c>
      <c r="C144" s="90" t="s">
        <v>288</v>
      </c>
      <c r="D144" s="223"/>
    </row>
    <row r="145" ht="12.75" collapsed="1">
      <c r="D145" s="233"/>
    </row>
    <row r="146" s="107" customFormat="1" ht="12.75">
      <c r="B146" s="107" t="str">
        <f>CONCATENATE(D114," = ",COUNTA(D115:D144),"  (",TEXT((COUNTA(D115:D144)/ROWS(D115:D144)),"#%"),")")</f>
        <v>Online Applications = 18  (60%)</v>
      </c>
    </row>
    <row r="148" spans="1:4" s="119" customFormat="1" ht="15">
      <c r="A148" s="117">
        <v>5</v>
      </c>
      <c r="B148" s="235" t="s">
        <v>388</v>
      </c>
      <c r="C148" s="118"/>
      <c r="D148" s="236"/>
    </row>
    <row r="149" spans="2:4" s="130" customFormat="1" ht="12.75" hidden="1" outlineLevel="1">
      <c r="B149" s="185" t="s">
        <v>324</v>
      </c>
      <c r="C149" s="185" t="s">
        <v>189</v>
      </c>
      <c r="D149" s="131" t="s">
        <v>466</v>
      </c>
    </row>
    <row r="150" spans="2:4" ht="12.75" hidden="1" outlineLevel="1">
      <c r="B150" s="91" t="s">
        <v>140</v>
      </c>
      <c r="C150" s="90" t="s">
        <v>341</v>
      </c>
      <c r="D150" s="89" t="s">
        <v>463</v>
      </c>
    </row>
    <row r="151" spans="2:4" ht="12.75" hidden="1" outlineLevel="1">
      <c r="B151" s="91" t="s">
        <v>332</v>
      </c>
      <c r="C151" s="90" t="s">
        <v>554</v>
      </c>
      <c r="D151" s="89"/>
    </row>
    <row r="152" spans="2:4" ht="12.75" hidden="1" outlineLevel="1">
      <c r="B152" s="91" t="s">
        <v>332</v>
      </c>
      <c r="C152" s="90" t="s">
        <v>436</v>
      </c>
      <c r="D152" s="89" t="s">
        <v>390</v>
      </c>
    </row>
    <row r="153" spans="2:4" ht="12.75" hidden="1" outlineLevel="1">
      <c r="B153" s="91" t="s">
        <v>332</v>
      </c>
      <c r="C153" s="90" t="s">
        <v>286</v>
      </c>
      <c r="D153" s="89" t="s">
        <v>468</v>
      </c>
    </row>
    <row r="154" spans="2:4" ht="12.75" hidden="1" outlineLevel="1">
      <c r="B154" s="91" t="s">
        <v>141</v>
      </c>
      <c r="C154" s="90" t="s">
        <v>445</v>
      </c>
      <c r="D154" s="89" t="s">
        <v>393</v>
      </c>
    </row>
    <row r="155" spans="2:4" ht="12.75" hidden="1" outlineLevel="1">
      <c r="B155" s="91" t="s">
        <v>146</v>
      </c>
      <c r="C155" s="90" t="s">
        <v>349</v>
      </c>
      <c r="D155" s="89" t="s">
        <v>394</v>
      </c>
    </row>
    <row r="156" spans="2:4" ht="12.75" hidden="1" outlineLevel="1">
      <c r="B156" s="91" t="s">
        <v>146</v>
      </c>
      <c r="C156" s="90" t="s">
        <v>550</v>
      </c>
      <c r="D156" s="89" t="s">
        <v>1675</v>
      </c>
    </row>
    <row r="157" spans="2:4" ht="12.75" hidden="1" outlineLevel="1">
      <c r="B157" s="91" t="s">
        <v>142</v>
      </c>
      <c r="C157" s="90" t="s">
        <v>343</v>
      </c>
      <c r="D157" s="89"/>
    </row>
    <row r="158" spans="2:4" ht="12.75" hidden="1" outlineLevel="1">
      <c r="B158" s="91" t="s">
        <v>143</v>
      </c>
      <c r="C158" s="90" t="s">
        <v>437</v>
      </c>
      <c r="D158" s="89" t="s">
        <v>1644</v>
      </c>
    </row>
    <row r="159" spans="2:4" ht="12.75" hidden="1" outlineLevel="1">
      <c r="B159" s="91" t="s">
        <v>143</v>
      </c>
      <c r="C159" s="90" t="s">
        <v>287</v>
      </c>
      <c r="D159" s="89" t="s">
        <v>399</v>
      </c>
    </row>
    <row r="160" spans="2:4" ht="12.75" hidden="1" outlineLevel="1">
      <c r="B160" s="91" t="s">
        <v>144</v>
      </c>
      <c r="C160" s="90" t="s">
        <v>438</v>
      </c>
      <c r="D160" s="89"/>
    </row>
    <row r="161" spans="2:4" ht="12.75" hidden="1" outlineLevel="1">
      <c r="B161" s="91" t="s">
        <v>153</v>
      </c>
      <c r="C161" s="90" t="s">
        <v>444</v>
      </c>
      <c r="D161" s="89"/>
    </row>
    <row r="162" spans="2:4" ht="12.75" hidden="1" outlineLevel="1">
      <c r="B162" s="91" t="s">
        <v>153</v>
      </c>
      <c r="C162" s="90" t="s">
        <v>446</v>
      </c>
      <c r="D162" s="89" t="s">
        <v>402</v>
      </c>
    </row>
    <row r="163" spans="2:4" ht="12.75" hidden="1" outlineLevel="1">
      <c r="B163" s="91" t="s">
        <v>139</v>
      </c>
      <c r="C163" s="90" t="s">
        <v>551</v>
      </c>
      <c r="D163" s="89" t="s">
        <v>500</v>
      </c>
    </row>
    <row r="164" spans="2:4" ht="12.75" hidden="1" outlineLevel="1">
      <c r="B164" s="91" t="s">
        <v>148</v>
      </c>
      <c r="C164" s="90" t="s">
        <v>552</v>
      </c>
      <c r="D164" s="89" t="s">
        <v>467</v>
      </c>
    </row>
    <row r="165" spans="2:4" ht="12.75" hidden="1" outlineLevel="1">
      <c r="B165" s="91" t="s">
        <v>154</v>
      </c>
      <c r="C165" s="90" t="s">
        <v>352</v>
      </c>
      <c r="D165" s="89"/>
    </row>
    <row r="166" spans="2:4" ht="12.75" hidden="1" outlineLevel="1">
      <c r="B166" s="91" t="s">
        <v>154</v>
      </c>
      <c r="C166" s="90" t="s">
        <v>342</v>
      </c>
      <c r="D166" s="89" t="s">
        <v>468</v>
      </c>
    </row>
    <row r="167" spans="2:4" ht="12.75" hidden="1" outlineLevel="1">
      <c r="B167" s="91" t="s">
        <v>336</v>
      </c>
      <c r="C167" s="90" t="s">
        <v>281</v>
      </c>
      <c r="D167" s="89"/>
    </row>
    <row r="168" spans="2:4" ht="12.75" hidden="1" outlineLevel="1">
      <c r="B168" s="91" t="s">
        <v>334</v>
      </c>
      <c r="C168" s="90" t="s">
        <v>350</v>
      </c>
      <c r="D168" s="89"/>
    </row>
    <row r="169" spans="2:4" ht="12.75" hidden="1" outlineLevel="1">
      <c r="B169" s="91" t="s">
        <v>145</v>
      </c>
      <c r="C169" s="90" t="s">
        <v>439</v>
      </c>
      <c r="D169" s="89" t="s">
        <v>399</v>
      </c>
    </row>
    <row r="170" spans="2:4" ht="12.75" hidden="1" outlineLevel="1">
      <c r="B170" s="91" t="s">
        <v>335</v>
      </c>
      <c r="C170" s="90" t="s">
        <v>283</v>
      </c>
      <c r="D170" s="89"/>
    </row>
    <row r="171" spans="2:4" ht="12.75" hidden="1" outlineLevel="1">
      <c r="B171" s="91" t="s">
        <v>152</v>
      </c>
      <c r="C171" s="90" t="s">
        <v>408</v>
      </c>
      <c r="D171" s="89" t="s">
        <v>511</v>
      </c>
    </row>
    <row r="172" spans="2:4" ht="12.75" hidden="1" outlineLevel="1">
      <c r="B172" s="91" t="s">
        <v>149</v>
      </c>
      <c r="C172" s="90" t="s">
        <v>277</v>
      </c>
      <c r="D172" s="89" t="s">
        <v>394</v>
      </c>
    </row>
    <row r="173" spans="2:4" ht="12.75" hidden="1" outlineLevel="1">
      <c r="B173" s="91" t="s">
        <v>150</v>
      </c>
      <c r="C173" s="90" t="s">
        <v>278</v>
      </c>
      <c r="D173" s="89" t="s">
        <v>513</v>
      </c>
    </row>
    <row r="174" spans="2:4" ht="12.75" hidden="1" outlineLevel="1">
      <c r="B174" s="91" t="s">
        <v>155</v>
      </c>
      <c r="C174" s="90" t="s">
        <v>351</v>
      </c>
      <c r="D174" s="89" t="s">
        <v>502</v>
      </c>
    </row>
    <row r="175" spans="2:4" ht="12.75" hidden="1" outlineLevel="1">
      <c r="B175" s="91" t="s">
        <v>155</v>
      </c>
      <c r="C175" s="90" t="s">
        <v>279</v>
      </c>
      <c r="D175" s="89" t="s">
        <v>502</v>
      </c>
    </row>
    <row r="176" spans="2:4" ht="12.75" hidden="1" outlineLevel="1">
      <c r="B176" s="91" t="s">
        <v>147</v>
      </c>
      <c r="C176" s="90" t="s">
        <v>353</v>
      </c>
      <c r="D176" s="89"/>
    </row>
    <row r="177" spans="2:4" ht="12.75" hidden="1" outlineLevel="1">
      <c r="B177" s="91" t="s">
        <v>151</v>
      </c>
      <c r="C177" s="90" t="s">
        <v>282</v>
      </c>
      <c r="D177" s="89"/>
    </row>
    <row r="178" spans="2:4" ht="12.75" hidden="1" outlineLevel="1">
      <c r="B178" s="91" t="s">
        <v>337</v>
      </c>
      <c r="C178" s="90" t="s">
        <v>553</v>
      </c>
      <c r="D178" s="89" t="s">
        <v>468</v>
      </c>
    </row>
    <row r="179" spans="2:4" ht="12.75" hidden="1" outlineLevel="1">
      <c r="B179" s="91" t="s">
        <v>156</v>
      </c>
      <c r="C179" s="90" t="s">
        <v>288</v>
      </c>
      <c r="D179" s="89" t="s">
        <v>519</v>
      </c>
    </row>
    <row r="180" ht="12.75" collapsed="1"/>
  </sheetData>
  <sheetProtection/>
  <hyperlinks>
    <hyperlink ref="D12" r:id="rId1" display="www.achange.org"/>
    <hyperlink ref="D33" r:id="rId2" display="www.ncacdc.org"/>
    <hyperlink ref="D15" r:id="rId3" display="scanph.org"/>
    <hyperlink ref="D23" r:id="rId4" display="www.chicagorehab.org/"/>
    <hyperlink ref="D13" r:id="rId5" display="cceda.com/"/>
    <hyperlink ref="D20" r:id="rId6" display="www.flacdc.org"/>
    <hyperlink ref="D32" r:id="rId7" display="www.npcnyf.org"/>
    <hyperlink ref="D16" r:id="rId8" display="www.ct-housing.org"/>
    <hyperlink ref="D39" r:id="rId9" display="www.communitydevelopmentsc.org/"/>
    <hyperlink ref="D30" r:id="rId10" display="www.communitybuildersstl.org/"/>
    <hyperlink ref="D28" r:id="rId11" display="www.cedam.info"/>
    <hyperlink ref="D24" r:id="rId12" display="www.housingactionil.org"/>
    <hyperlink ref="D37" r:id="rId13" display="www.pacdc.org"/>
    <hyperlink ref="D26" r:id="rId14" display="www.macdc.org"/>
    <hyperlink ref="D29" r:id="rId15" display="www.mccdmn.org/"/>
    <hyperlink ref="D41" r:id="rId16" display="www.tacdc.org"/>
    <hyperlink ref="D40" r:id="rId17" display="memphiscommunitydevelopment.com and livablememphis.org"/>
    <hyperlink ref="D38" r:id="rId18" display="www.housingnetworkRI.org"/>
    <hyperlink ref="D36" r:id="rId19" display="www.housingalliancepa.org"/>
    <hyperlink ref="D34" r:id="rId20" display="www.ohiocdc.org"/>
    <hyperlink ref="D27" r:id="rId21" display="www.cdad-online.org"/>
    <hyperlink ref="D31" r:id="rId22" display="www.hcdnnj.org/"/>
    <hyperlink ref="D35" r:id="rId23" display="oregonon.org"/>
    <hyperlink ref="D25" r:id="rId24" display="www.iaced.org/"/>
    <hyperlink ref="D14" r:id="rId25" display="www.ebho.org/"/>
    <hyperlink ref="D17" r:id="rId26" display="www.cnhed.org/"/>
    <hyperlink ref="D18" r:id="rId27" display="www.handhousing.org/"/>
    <hyperlink ref="D21" r:id="rId28" display="www.southfloridacdc.org/"/>
    <hyperlink ref="D19" r:id="rId29" display="housingforall.org"/>
  </hyperlinks>
  <printOptions/>
  <pageMargins left="0.7" right="0.7" top="0.75" bottom="0.75" header="0.3" footer="0.3"/>
  <pageSetup fitToHeight="3" horizontalDpi="600" verticalDpi="600" orientation="portrait" scale="74"/>
  <headerFooter alignWithMargins="0">
    <oddFooter>&amp;C&amp;P</oddFooter>
  </headerFooter>
  <drawing r:id="rId30"/>
</worksheet>
</file>

<file path=xl/worksheets/sheet8.xml><?xml version="1.0" encoding="utf-8"?>
<worksheet xmlns="http://schemas.openxmlformats.org/spreadsheetml/2006/main" xmlns:r="http://schemas.openxmlformats.org/officeDocument/2006/relationships">
  <dimension ref="A2:R654"/>
  <sheetViews>
    <sheetView showGridLines="0" zoomScalePageLayoutView="0" workbookViewId="0" topLeftCell="A1">
      <selection activeCell="A1" sqref="A1"/>
    </sheetView>
  </sheetViews>
  <sheetFormatPr defaultColWidth="8.8515625" defaultRowHeight="12.75" outlineLevelRow="1"/>
  <cols>
    <col min="1" max="1" width="4.140625" style="90" customWidth="1"/>
    <col min="2" max="2" width="17.28125" style="90" customWidth="1"/>
    <col min="3" max="3" width="18.7109375" style="90" customWidth="1"/>
    <col min="4" max="4" width="19.7109375" style="90" customWidth="1"/>
    <col min="5" max="5" width="18.421875" style="90" customWidth="1"/>
    <col min="6" max="6" width="15.8515625" style="90" customWidth="1"/>
    <col min="7" max="7" width="14.421875" style="90" customWidth="1"/>
    <col min="8" max="8" width="13.7109375" style="90" customWidth="1"/>
    <col min="9" max="9" width="17.00390625" style="90" customWidth="1"/>
    <col min="10" max="13" width="9.140625" style="90" customWidth="1"/>
    <col min="14" max="16384" width="8.8515625" style="90" customWidth="1"/>
  </cols>
  <sheetData>
    <row r="1" ht="75" customHeight="1"/>
    <row r="2" ht="22.5">
      <c r="A2" s="143"/>
    </row>
    <row r="3" ht="22.5">
      <c r="A3" s="143"/>
    </row>
    <row r="4" ht="18.75" customHeight="1">
      <c r="A4" s="143"/>
    </row>
    <row r="5" spans="1:12" ht="18.75" customHeight="1">
      <c r="A5" s="93"/>
      <c r="I5" s="96"/>
      <c r="J5" s="96"/>
      <c r="K5" s="96"/>
      <c r="L5" s="96"/>
    </row>
    <row r="6" spans="1:12" ht="42" customHeight="1">
      <c r="A6" s="146"/>
      <c r="I6" s="96"/>
      <c r="J6" s="96"/>
      <c r="K6" s="96"/>
      <c r="L6" s="96"/>
    </row>
    <row r="7" spans="1:12" ht="18.75" customHeight="1">
      <c r="A7" s="147"/>
      <c r="I7" s="96"/>
      <c r="J7" s="96"/>
      <c r="K7" s="96"/>
      <c r="L7" s="96"/>
    </row>
    <row r="8" s="87" customFormat="1" ht="18">
      <c r="A8" s="109" t="s">
        <v>1714</v>
      </c>
    </row>
    <row r="9" ht="12.75"/>
    <row r="10" spans="1:2" s="119" customFormat="1" ht="15">
      <c r="A10" s="117">
        <v>1</v>
      </c>
      <c r="B10" s="119" t="s">
        <v>313</v>
      </c>
    </row>
    <row r="11" spans="2:5" s="130" customFormat="1" ht="12.75" hidden="1" outlineLevel="1">
      <c r="B11" s="185" t="s">
        <v>324</v>
      </c>
      <c r="C11" s="185" t="s">
        <v>189</v>
      </c>
      <c r="D11" s="201" t="s">
        <v>648</v>
      </c>
      <c r="E11" s="130" t="s">
        <v>649</v>
      </c>
    </row>
    <row r="12" spans="2:5" ht="12.75" hidden="1" outlineLevel="1">
      <c r="B12" s="91" t="s">
        <v>140</v>
      </c>
      <c r="C12" s="90" t="s">
        <v>341</v>
      </c>
      <c r="D12" s="200" t="s">
        <v>163</v>
      </c>
      <c r="E12" s="89" t="s">
        <v>651</v>
      </c>
    </row>
    <row r="13" spans="2:5" ht="12.75" hidden="1" outlineLevel="1">
      <c r="B13" s="91" t="s">
        <v>332</v>
      </c>
      <c r="C13" s="90" t="s">
        <v>554</v>
      </c>
      <c r="D13" s="200" t="s">
        <v>163</v>
      </c>
      <c r="E13" s="89" t="s">
        <v>650</v>
      </c>
    </row>
    <row r="14" spans="2:5" ht="12.75" hidden="1" outlineLevel="1">
      <c r="B14" s="91" t="s">
        <v>332</v>
      </c>
      <c r="C14" s="90" t="s">
        <v>436</v>
      </c>
      <c r="D14" s="200" t="s">
        <v>163</v>
      </c>
      <c r="E14" s="89" t="s">
        <v>692</v>
      </c>
    </row>
    <row r="15" spans="2:5" ht="12.75" hidden="1" outlineLevel="1">
      <c r="B15" s="91" t="s">
        <v>332</v>
      </c>
      <c r="C15" s="90" t="s">
        <v>286</v>
      </c>
      <c r="D15" s="200" t="s">
        <v>163</v>
      </c>
      <c r="E15" s="89" t="s">
        <v>693</v>
      </c>
    </row>
    <row r="16" spans="2:5" ht="12.75" hidden="1" outlineLevel="1">
      <c r="B16" s="91" t="s">
        <v>141</v>
      </c>
      <c r="C16" s="90" t="s">
        <v>445</v>
      </c>
      <c r="D16" s="200" t="s">
        <v>163</v>
      </c>
      <c r="E16" s="89" t="s">
        <v>694</v>
      </c>
    </row>
    <row r="17" spans="2:5" ht="12.75" hidden="1" outlineLevel="1">
      <c r="B17" s="91" t="s">
        <v>146</v>
      </c>
      <c r="C17" s="90" t="s">
        <v>349</v>
      </c>
      <c r="D17" s="200" t="s">
        <v>163</v>
      </c>
      <c r="E17" s="89" t="s">
        <v>1660</v>
      </c>
    </row>
    <row r="18" spans="2:5" ht="12.75" hidden="1" outlineLevel="1">
      <c r="B18" s="91" t="s">
        <v>142</v>
      </c>
      <c r="C18" s="90" t="s">
        <v>343</v>
      </c>
      <c r="D18" s="200" t="s">
        <v>163</v>
      </c>
      <c r="E18" s="89" t="s">
        <v>695</v>
      </c>
    </row>
    <row r="19" spans="2:12" ht="12.75" hidden="1" outlineLevel="1">
      <c r="B19" s="91" t="s">
        <v>143</v>
      </c>
      <c r="C19" s="90" t="s">
        <v>437</v>
      </c>
      <c r="D19" s="200" t="s">
        <v>163</v>
      </c>
      <c r="E19" s="89" t="s">
        <v>1645</v>
      </c>
      <c r="I19" s="96"/>
      <c r="J19" s="96"/>
      <c r="K19" s="96"/>
      <c r="L19" s="96"/>
    </row>
    <row r="20" spans="2:12" ht="12.75" hidden="1" outlineLevel="1">
      <c r="B20" s="91" t="s">
        <v>143</v>
      </c>
      <c r="C20" s="90" t="s">
        <v>287</v>
      </c>
      <c r="D20" s="200" t="s">
        <v>163</v>
      </c>
      <c r="E20" s="89" t="s">
        <v>696</v>
      </c>
      <c r="I20" s="96"/>
      <c r="J20" s="96"/>
      <c r="K20" s="96"/>
      <c r="L20" s="96"/>
    </row>
    <row r="21" spans="2:12" ht="12.75" hidden="1" outlineLevel="1">
      <c r="B21" s="91" t="s">
        <v>144</v>
      </c>
      <c r="C21" s="90" t="s">
        <v>438</v>
      </c>
      <c r="D21" s="200" t="s">
        <v>163</v>
      </c>
      <c r="E21" s="89" t="s">
        <v>697</v>
      </c>
      <c r="I21" s="96"/>
      <c r="J21" s="96"/>
      <c r="K21" s="96"/>
      <c r="L21" s="96"/>
    </row>
    <row r="22" spans="2:12" ht="12.75" hidden="1" outlineLevel="1">
      <c r="B22" s="91" t="s">
        <v>153</v>
      </c>
      <c r="C22" s="90" t="s">
        <v>444</v>
      </c>
      <c r="D22" s="200" t="s">
        <v>163</v>
      </c>
      <c r="E22" s="89" t="s">
        <v>698</v>
      </c>
      <c r="I22" s="96"/>
      <c r="J22" s="96"/>
      <c r="K22" s="96"/>
      <c r="L22" s="96"/>
    </row>
    <row r="23" spans="2:5" ht="12.75" hidden="1" outlineLevel="1">
      <c r="B23" s="91" t="s">
        <v>153</v>
      </c>
      <c r="C23" s="90" t="s">
        <v>446</v>
      </c>
      <c r="D23" s="200" t="s">
        <v>163</v>
      </c>
      <c r="E23" s="89" t="s">
        <v>699</v>
      </c>
    </row>
    <row r="24" spans="2:5" ht="12.75" hidden="1" outlineLevel="1">
      <c r="B24" s="91" t="s">
        <v>139</v>
      </c>
      <c r="C24" s="90" t="s">
        <v>551</v>
      </c>
      <c r="D24" s="200" t="s">
        <v>163</v>
      </c>
      <c r="E24" s="89" t="s">
        <v>700</v>
      </c>
    </row>
    <row r="25" spans="2:5" ht="12.75" hidden="1" outlineLevel="1">
      <c r="B25" s="91" t="s">
        <v>148</v>
      </c>
      <c r="C25" s="90" t="s">
        <v>552</v>
      </c>
      <c r="D25" s="200" t="s">
        <v>163</v>
      </c>
      <c r="E25" s="89" t="s">
        <v>701</v>
      </c>
    </row>
    <row r="26" spans="2:5" ht="12.75" hidden="1" outlineLevel="1">
      <c r="B26" s="91" t="s">
        <v>154</v>
      </c>
      <c r="C26" s="90" t="s">
        <v>352</v>
      </c>
      <c r="D26" s="200" t="s">
        <v>163</v>
      </c>
      <c r="E26" s="89" t="s">
        <v>702</v>
      </c>
    </row>
    <row r="27" spans="2:5" ht="12.75" hidden="1" outlineLevel="1">
      <c r="B27" s="91" t="s">
        <v>154</v>
      </c>
      <c r="C27" s="90" t="s">
        <v>342</v>
      </c>
      <c r="D27" s="200" t="s">
        <v>163</v>
      </c>
      <c r="E27" s="89" t="s">
        <v>703</v>
      </c>
    </row>
    <row r="28" spans="2:5" ht="12.75" hidden="1" outlineLevel="1">
      <c r="B28" s="91" t="s">
        <v>336</v>
      </c>
      <c r="C28" s="90" t="s">
        <v>281</v>
      </c>
      <c r="D28" s="200" t="s">
        <v>163</v>
      </c>
      <c r="E28" s="89" t="s">
        <v>704</v>
      </c>
    </row>
    <row r="29" spans="2:5" ht="12.75" hidden="1" outlineLevel="1">
      <c r="B29" s="91" t="s">
        <v>334</v>
      </c>
      <c r="C29" s="90" t="s">
        <v>350</v>
      </c>
      <c r="D29" s="200" t="s">
        <v>163</v>
      </c>
      <c r="E29" s="89" t="s">
        <v>706</v>
      </c>
    </row>
    <row r="30" spans="2:5" ht="12.75" hidden="1" outlineLevel="1">
      <c r="B30" s="91" t="s">
        <v>145</v>
      </c>
      <c r="C30" s="90" t="s">
        <v>439</v>
      </c>
      <c r="D30" s="200" t="s">
        <v>163</v>
      </c>
      <c r="E30" s="89" t="s">
        <v>707</v>
      </c>
    </row>
    <row r="31" spans="2:5" ht="12.75" hidden="1" outlineLevel="1">
      <c r="B31" s="91" t="s">
        <v>335</v>
      </c>
      <c r="C31" s="90" t="s">
        <v>283</v>
      </c>
      <c r="D31" s="200" t="s">
        <v>163</v>
      </c>
      <c r="E31" s="89" t="s">
        <v>708</v>
      </c>
    </row>
    <row r="32" spans="2:5" ht="12.75" hidden="1" outlineLevel="1">
      <c r="B32" s="91" t="s">
        <v>152</v>
      </c>
      <c r="C32" s="90" t="s">
        <v>408</v>
      </c>
      <c r="D32" s="200" t="s">
        <v>163</v>
      </c>
      <c r="E32" s="89" t="s">
        <v>709</v>
      </c>
    </row>
    <row r="33" spans="2:5" ht="12.75" hidden="1" outlineLevel="1">
      <c r="B33" s="91" t="s">
        <v>149</v>
      </c>
      <c r="C33" s="90" t="s">
        <v>277</v>
      </c>
      <c r="D33" s="200" t="s">
        <v>163</v>
      </c>
      <c r="E33" s="89" t="s">
        <v>672</v>
      </c>
    </row>
    <row r="34" spans="2:5" ht="12.75" hidden="1" outlineLevel="1">
      <c r="B34" s="91" t="s">
        <v>150</v>
      </c>
      <c r="C34" s="90" t="s">
        <v>278</v>
      </c>
      <c r="D34" s="200" t="s">
        <v>163</v>
      </c>
      <c r="E34" s="89" t="s">
        <v>712</v>
      </c>
    </row>
    <row r="35" spans="2:5" ht="12.75" hidden="1" outlineLevel="1">
      <c r="B35" s="91" t="s">
        <v>155</v>
      </c>
      <c r="C35" s="90" t="s">
        <v>351</v>
      </c>
      <c r="D35" s="200" t="s">
        <v>163</v>
      </c>
      <c r="E35" s="89" t="s">
        <v>713</v>
      </c>
    </row>
    <row r="36" spans="2:5" ht="12.75" hidden="1" outlineLevel="1">
      <c r="B36" s="91" t="s">
        <v>155</v>
      </c>
      <c r="C36" s="90" t="s">
        <v>279</v>
      </c>
      <c r="D36" s="200" t="s">
        <v>163</v>
      </c>
      <c r="E36" s="89" t="s">
        <v>1635</v>
      </c>
    </row>
    <row r="37" spans="2:5" ht="12.75" hidden="1" outlineLevel="1">
      <c r="B37" s="91" t="s">
        <v>147</v>
      </c>
      <c r="C37" s="90" t="s">
        <v>353</v>
      </c>
      <c r="D37" s="200" t="s">
        <v>163</v>
      </c>
      <c r="E37" s="89" t="s">
        <v>714</v>
      </c>
    </row>
    <row r="38" spans="2:5" ht="12.75" hidden="1" outlineLevel="1">
      <c r="B38" s="91" t="s">
        <v>151</v>
      </c>
      <c r="C38" s="90" t="s">
        <v>282</v>
      </c>
      <c r="D38" s="200" t="s">
        <v>163</v>
      </c>
      <c r="E38" s="89" t="s">
        <v>715</v>
      </c>
    </row>
    <row r="39" spans="2:5" ht="12.75" hidden="1" outlineLevel="1">
      <c r="B39" s="91" t="s">
        <v>337</v>
      </c>
      <c r="C39" s="90" t="s">
        <v>553</v>
      </c>
      <c r="D39" s="200" t="s">
        <v>163</v>
      </c>
      <c r="E39" s="89" t="s">
        <v>716</v>
      </c>
    </row>
    <row r="40" spans="2:5" ht="12.75" hidden="1" outlineLevel="1">
      <c r="B40" s="91" t="s">
        <v>156</v>
      </c>
      <c r="C40" s="90" t="s">
        <v>288</v>
      </c>
      <c r="D40" s="200" t="s">
        <v>163</v>
      </c>
      <c r="E40" s="89" t="s">
        <v>717</v>
      </c>
    </row>
    <row r="41" spans="2:5" ht="12.75" hidden="1" outlineLevel="1">
      <c r="B41" s="91" t="s">
        <v>146</v>
      </c>
      <c r="C41" s="90" t="s">
        <v>550</v>
      </c>
      <c r="D41" s="200" t="s">
        <v>164</v>
      </c>
      <c r="E41" s="89" t="s">
        <v>718</v>
      </c>
    </row>
    <row r="42" spans="2:5" ht="12.75" collapsed="1">
      <c r="B42" s="91"/>
      <c r="D42" s="89"/>
      <c r="E42" s="89"/>
    </row>
    <row r="43" spans="2:5" s="107" customFormat="1" ht="12.75">
      <c r="B43" s="160" t="str">
        <f>CONCATENATE("Yes = ",COUNTIF($D$12:$D$41,"yes"),TEXT((COUNTIF(D12:D41,"yes")/ROWS(D12:D41)),"   (#%)"))</f>
        <v>Yes = 29   (97%)</v>
      </c>
      <c r="D43" s="161"/>
      <c r="E43" s="161"/>
    </row>
    <row r="44" spans="2:5" s="107" customFormat="1" ht="12.75">
      <c r="B44" s="160" t="str">
        <f>CONCATENATE("No = ",COUNTIF($D$12:$D$41,"No"),TEXT((COUNTIF(D12:D41,"no")/ROWS(D12:D41)),"   (#%)"))</f>
        <v>No = 1   (3%)</v>
      </c>
      <c r="D44" s="161"/>
      <c r="E44" s="161"/>
    </row>
    <row r="45" spans="2:5" ht="12.75">
      <c r="B45" s="91"/>
      <c r="D45" s="89"/>
      <c r="E45" s="89"/>
    </row>
    <row r="46" spans="2:3" ht="12.75">
      <c r="B46" s="91"/>
      <c r="C46" s="139" t="s">
        <v>1323</v>
      </c>
    </row>
    <row r="47" spans="2:12" ht="12.75">
      <c r="B47" s="91"/>
      <c r="C47" s="90" t="s">
        <v>1697</v>
      </c>
      <c r="I47" s="96">
        <v>2011</v>
      </c>
      <c r="J47" s="96"/>
      <c r="K47" s="96"/>
      <c r="L47" s="96"/>
    </row>
    <row r="48" spans="2:12" ht="12.75" hidden="1" outlineLevel="1">
      <c r="B48" s="91"/>
      <c r="I48" s="96"/>
      <c r="J48" s="96"/>
      <c r="K48" s="96"/>
      <c r="L48" s="96"/>
    </row>
    <row r="49" spans="2:14" ht="12.75" hidden="1" outlineLevel="1">
      <c r="B49" s="91"/>
      <c r="C49" s="106">
        <v>2011</v>
      </c>
      <c r="D49" s="106">
        <v>2014</v>
      </c>
      <c r="E49" s="278" t="s">
        <v>1322</v>
      </c>
      <c r="F49" s="278"/>
      <c r="G49" s="96"/>
      <c r="H49" s="96"/>
      <c r="I49" s="96" t="s">
        <v>1508</v>
      </c>
      <c r="J49" s="96">
        <v>2014</v>
      </c>
      <c r="K49" s="96">
        <v>20.11</v>
      </c>
      <c r="L49" s="96">
        <v>20.14</v>
      </c>
      <c r="M49" s="96" t="s">
        <v>1570</v>
      </c>
      <c r="N49" s="96" t="s">
        <v>1571</v>
      </c>
    </row>
    <row r="50" spans="2:14" ht="12.75" hidden="1" outlineLevel="1">
      <c r="B50" s="91"/>
      <c r="C50" s="147" t="str">
        <f>CONCATENATE("Yes"," = ",I50,CONCATENATE("    (",TEXT(I50/($H$653+$H$652),"#%"),")"))</f>
        <v>Yes = 25    (93%)</v>
      </c>
      <c r="D50" s="147" t="str">
        <f>B43</f>
        <v>Yes = 29   (97%)</v>
      </c>
      <c r="E50" s="189">
        <f>L50-K50</f>
        <v>0.040740740740740744</v>
      </c>
      <c r="F50" s="147"/>
      <c r="G50" s="96"/>
      <c r="H50" s="96" t="s">
        <v>163</v>
      </c>
      <c r="I50" s="96">
        <v>25</v>
      </c>
      <c r="J50" s="96">
        <v>29</v>
      </c>
      <c r="K50" s="96">
        <f>I50/$M$50</f>
        <v>0.9259259259259259</v>
      </c>
      <c r="L50" s="96">
        <f>(COUNTIF(D12:D41,"Yes")/ROWS(D12:D41))</f>
        <v>0.9666666666666667</v>
      </c>
      <c r="M50" s="96">
        <v>27</v>
      </c>
      <c r="N50" s="96">
        <v>30</v>
      </c>
    </row>
    <row r="51" spans="2:14" ht="12.75" hidden="1" outlineLevel="1">
      <c r="B51" s="91"/>
      <c r="C51" s="147" t="str">
        <f>CONCATENATE("No","   = ",I51,CONCATENATE("    (",TEXT(I51/($H$653+$H$652),"#%"),")"))</f>
        <v>No   = 2    (7%)</v>
      </c>
      <c r="D51" s="147" t="str">
        <f>B44</f>
        <v>No = 1   (3%)</v>
      </c>
      <c r="E51" s="189">
        <f>L51-K51</f>
        <v>-0.04074074074074074</v>
      </c>
      <c r="F51" s="147"/>
      <c r="G51" s="96"/>
      <c r="H51" s="96" t="s">
        <v>164</v>
      </c>
      <c r="I51" s="96">
        <v>2</v>
      </c>
      <c r="J51" s="96">
        <v>1</v>
      </c>
      <c r="K51" s="96">
        <f>I51/$M$50</f>
        <v>0.07407407407407407</v>
      </c>
      <c r="L51" s="96">
        <f>(COUNTIF(D12:D41,"No")/ROWS(D12:D41))</f>
        <v>0.03333333333333333</v>
      </c>
      <c r="M51" s="96"/>
      <c r="N51" s="96"/>
    </row>
    <row r="52" ht="12.75" collapsed="1"/>
    <row r="53" spans="1:2" s="119" customFormat="1" ht="15">
      <c r="A53" s="117">
        <v>2</v>
      </c>
      <c r="B53" s="119" t="s">
        <v>303</v>
      </c>
    </row>
    <row r="54" spans="2:5" s="247" customFormat="1" ht="40.5" customHeight="1" hidden="1" outlineLevel="1">
      <c r="B54" s="248" t="s">
        <v>324</v>
      </c>
      <c r="C54" s="248" t="s">
        <v>189</v>
      </c>
      <c r="D54" s="249" t="s">
        <v>720</v>
      </c>
      <c r="E54" s="249" t="s">
        <v>719</v>
      </c>
    </row>
    <row r="55" spans="2:5" ht="12.75" hidden="1" outlineLevel="1">
      <c r="B55" s="91" t="s">
        <v>140</v>
      </c>
      <c r="C55" s="90" t="s">
        <v>341</v>
      </c>
      <c r="D55" s="223" t="s">
        <v>201</v>
      </c>
      <c r="E55" s="223"/>
    </row>
    <row r="56" spans="2:5" ht="12.75" hidden="1" outlineLevel="1">
      <c r="B56" s="91" t="s">
        <v>332</v>
      </c>
      <c r="C56" s="90" t="s">
        <v>554</v>
      </c>
      <c r="D56" s="223" t="s">
        <v>201</v>
      </c>
      <c r="E56" s="223" t="s">
        <v>201</v>
      </c>
    </row>
    <row r="57" spans="2:5" ht="12.75" hidden="1" outlineLevel="1">
      <c r="B57" s="91" t="s">
        <v>332</v>
      </c>
      <c r="C57" s="90" t="s">
        <v>436</v>
      </c>
      <c r="D57" s="223" t="s">
        <v>201</v>
      </c>
      <c r="E57" s="223" t="s">
        <v>201</v>
      </c>
    </row>
    <row r="58" spans="2:5" ht="12.75" hidden="1" outlineLevel="1">
      <c r="B58" s="91" t="s">
        <v>332</v>
      </c>
      <c r="C58" s="90" t="s">
        <v>286</v>
      </c>
      <c r="D58" s="223" t="s">
        <v>201</v>
      </c>
      <c r="E58" s="223"/>
    </row>
    <row r="59" spans="2:5" ht="12.75" hidden="1" outlineLevel="1">
      <c r="B59" s="91" t="s">
        <v>141</v>
      </c>
      <c r="C59" s="90" t="s">
        <v>445</v>
      </c>
      <c r="D59" s="223" t="s">
        <v>201</v>
      </c>
      <c r="E59" s="223" t="s">
        <v>201</v>
      </c>
    </row>
    <row r="60" spans="2:5" ht="12.75" hidden="1" outlineLevel="1">
      <c r="B60" s="91" t="s">
        <v>146</v>
      </c>
      <c r="C60" s="90" t="s">
        <v>349</v>
      </c>
      <c r="D60" s="223" t="s">
        <v>201</v>
      </c>
      <c r="E60" s="223" t="s">
        <v>201</v>
      </c>
    </row>
    <row r="61" spans="2:5" ht="12.75" hidden="1" outlineLevel="1">
      <c r="B61" s="91" t="s">
        <v>146</v>
      </c>
      <c r="C61" s="90" t="s">
        <v>550</v>
      </c>
      <c r="D61" s="223" t="s">
        <v>201</v>
      </c>
      <c r="E61" s="223"/>
    </row>
    <row r="62" spans="2:5" ht="12.75" hidden="1" outlineLevel="1">
      <c r="B62" s="91" t="s">
        <v>142</v>
      </c>
      <c r="C62" s="90" t="s">
        <v>343</v>
      </c>
      <c r="D62" s="223" t="s">
        <v>201</v>
      </c>
      <c r="E62" s="223"/>
    </row>
    <row r="63" spans="2:5" ht="12.75" hidden="1" outlineLevel="1">
      <c r="B63" s="91" t="s">
        <v>143</v>
      </c>
      <c r="C63" s="90" t="s">
        <v>437</v>
      </c>
      <c r="D63" s="223" t="s">
        <v>201</v>
      </c>
      <c r="E63" s="223" t="s">
        <v>201</v>
      </c>
    </row>
    <row r="64" spans="2:5" ht="12.75" hidden="1" outlineLevel="1">
      <c r="B64" s="91" t="s">
        <v>143</v>
      </c>
      <c r="C64" s="90" t="s">
        <v>287</v>
      </c>
      <c r="D64" s="223" t="s">
        <v>201</v>
      </c>
      <c r="E64" s="223" t="s">
        <v>201</v>
      </c>
    </row>
    <row r="65" spans="2:12" ht="12.75" hidden="1" outlineLevel="1">
      <c r="B65" s="91" t="s">
        <v>144</v>
      </c>
      <c r="C65" s="90" t="s">
        <v>438</v>
      </c>
      <c r="D65" s="223"/>
      <c r="E65" s="223"/>
      <c r="I65" s="96"/>
      <c r="J65" s="96"/>
      <c r="K65" s="96"/>
      <c r="L65" s="96"/>
    </row>
    <row r="66" spans="2:12" ht="12.75" hidden="1" outlineLevel="1">
      <c r="B66" s="91" t="s">
        <v>153</v>
      </c>
      <c r="C66" s="90" t="s">
        <v>444</v>
      </c>
      <c r="D66" s="223" t="s">
        <v>201</v>
      </c>
      <c r="E66" s="223" t="s">
        <v>201</v>
      </c>
      <c r="I66" s="96"/>
      <c r="J66" s="96"/>
      <c r="K66" s="96"/>
      <c r="L66" s="96"/>
    </row>
    <row r="67" spans="2:12" ht="12.75" hidden="1" outlineLevel="1">
      <c r="B67" s="91" t="s">
        <v>153</v>
      </c>
      <c r="C67" s="90" t="s">
        <v>446</v>
      </c>
      <c r="D67" s="223" t="s">
        <v>201</v>
      </c>
      <c r="E67" s="223" t="s">
        <v>201</v>
      </c>
      <c r="I67" s="96"/>
      <c r="J67" s="96"/>
      <c r="K67" s="96"/>
      <c r="L67" s="96"/>
    </row>
    <row r="68" spans="2:12" ht="12.75" hidden="1" outlineLevel="1">
      <c r="B68" s="91" t="s">
        <v>139</v>
      </c>
      <c r="C68" s="90" t="s">
        <v>551</v>
      </c>
      <c r="D68" s="223"/>
      <c r="E68" s="223"/>
      <c r="I68" s="96"/>
      <c r="J68" s="96"/>
      <c r="K68" s="96"/>
      <c r="L68" s="96"/>
    </row>
    <row r="69" spans="2:5" ht="12.75" hidden="1" outlineLevel="1">
      <c r="B69" s="91" t="s">
        <v>148</v>
      </c>
      <c r="C69" s="90" t="s">
        <v>552</v>
      </c>
      <c r="D69" s="223" t="s">
        <v>201</v>
      </c>
      <c r="E69" s="223" t="s">
        <v>201</v>
      </c>
    </row>
    <row r="70" spans="2:5" ht="12.75" hidden="1" outlineLevel="1">
      <c r="B70" s="91" t="s">
        <v>154</v>
      </c>
      <c r="C70" s="90" t="s">
        <v>352</v>
      </c>
      <c r="D70" s="223"/>
      <c r="E70" s="223"/>
    </row>
    <row r="71" spans="2:5" ht="12.75" hidden="1" outlineLevel="1">
      <c r="B71" s="91" t="s">
        <v>154</v>
      </c>
      <c r="C71" s="90" t="s">
        <v>342</v>
      </c>
      <c r="D71" s="223" t="s">
        <v>201</v>
      </c>
      <c r="E71" s="223"/>
    </row>
    <row r="72" spans="2:5" ht="12.75" hidden="1" outlineLevel="1">
      <c r="B72" s="91" t="s">
        <v>336</v>
      </c>
      <c r="C72" s="90" t="s">
        <v>281</v>
      </c>
      <c r="D72" s="223" t="s">
        <v>201</v>
      </c>
      <c r="E72" s="223" t="s">
        <v>201</v>
      </c>
    </row>
    <row r="73" spans="2:5" ht="12.75" hidden="1" outlineLevel="1">
      <c r="B73" s="91" t="s">
        <v>334</v>
      </c>
      <c r="C73" s="90" t="s">
        <v>350</v>
      </c>
      <c r="D73" s="223" t="s">
        <v>201</v>
      </c>
      <c r="E73" s="223" t="s">
        <v>201</v>
      </c>
    </row>
    <row r="74" spans="2:5" ht="12.75" hidden="1" outlineLevel="1">
      <c r="B74" s="91" t="s">
        <v>145</v>
      </c>
      <c r="C74" s="90" t="s">
        <v>439</v>
      </c>
      <c r="D74" s="223" t="s">
        <v>201</v>
      </c>
      <c r="E74" s="223" t="s">
        <v>201</v>
      </c>
    </row>
    <row r="75" spans="2:5" ht="12.75" hidden="1" outlineLevel="1">
      <c r="B75" s="91" t="s">
        <v>335</v>
      </c>
      <c r="C75" s="90" t="s">
        <v>283</v>
      </c>
      <c r="D75" s="223" t="s">
        <v>201</v>
      </c>
      <c r="E75" s="223"/>
    </row>
    <row r="76" spans="2:10" ht="12.75" hidden="1" outlineLevel="1">
      <c r="B76" s="91" t="s">
        <v>152</v>
      </c>
      <c r="C76" s="90" t="s">
        <v>408</v>
      </c>
      <c r="D76" s="223" t="s">
        <v>201</v>
      </c>
      <c r="E76" s="223"/>
      <c r="G76" s="96"/>
      <c r="H76" s="96"/>
      <c r="I76" s="96"/>
      <c r="J76" s="96"/>
    </row>
    <row r="77" spans="2:10" ht="12.75" hidden="1" outlineLevel="1">
      <c r="B77" s="91" t="s">
        <v>149</v>
      </c>
      <c r="C77" s="90" t="s">
        <v>277</v>
      </c>
      <c r="D77" s="223"/>
      <c r="E77" s="223"/>
      <c r="G77" s="96"/>
      <c r="H77" s="96"/>
      <c r="I77" s="96"/>
      <c r="J77" s="96"/>
    </row>
    <row r="78" spans="2:10" ht="12.75" hidden="1" outlineLevel="1">
      <c r="B78" s="91" t="s">
        <v>150</v>
      </c>
      <c r="C78" s="90" t="s">
        <v>278</v>
      </c>
      <c r="D78" s="223"/>
      <c r="E78" s="223"/>
      <c r="G78" s="96"/>
      <c r="H78" s="96"/>
      <c r="I78" s="96"/>
      <c r="J78" s="96"/>
    </row>
    <row r="79" spans="2:10" ht="12.75" hidden="1" outlineLevel="1">
      <c r="B79" s="91" t="s">
        <v>155</v>
      </c>
      <c r="C79" s="90" t="s">
        <v>351</v>
      </c>
      <c r="D79" s="223" t="s">
        <v>201</v>
      </c>
      <c r="E79" s="223" t="s">
        <v>201</v>
      </c>
      <c r="G79" s="96"/>
      <c r="H79" s="96"/>
      <c r="I79" s="96"/>
      <c r="J79" s="96"/>
    </row>
    <row r="80" spans="2:5" ht="12.75" hidden="1" outlineLevel="1">
      <c r="B80" s="91" t="s">
        <v>155</v>
      </c>
      <c r="C80" s="90" t="s">
        <v>279</v>
      </c>
      <c r="D80" s="223" t="s">
        <v>201</v>
      </c>
      <c r="E80" s="223"/>
    </row>
    <row r="81" spans="2:5" ht="12.75" hidden="1" outlineLevel="1">
      <c r="B81" s="91" t="s">
        <v>147</v>
      </c>
      <c r="C81" s="90" t="s">
        <v>353</v>
      </c>
      <c r="D81" s="223"/>
      <c r="E81" s="223"/>
    </row>
    <row r="82" spans="2:5" ht="12.75" hidden="1" outlineLevel="1">
      <c r="B82" s="91" t="s">
        <v>151</v>
      </c>
      <c r="C82" s="90" t="s">
        <v>282</v>
      </c>
      <c r="D82" s="223" t="s">
        <v>201</v>
      </c>
      <c r="E82" s="223" t="s">
        <v>201</v>
      </c>
    </row>
    <row r="83" spans="2:5" ht="12.75" hidden="1" outlineLevel="1">
      <c r="B83" s="91" t="s">
        <v>337</v>
      </c>
      <c r="C83" s="90" t="s">
        <v>553</v>
      </c>
      <c r="D83" s="223" t="s">
        <v>201</v>
      </c>
      <c r="E83" s="223" t="s">
        <v>201</v>
      </c>
    </row>
    <row r="84" spans="2:5" ht="12.75" hidden="1" outlineLevel="1">
      <c r="B84" s="91" t="s">
        <v>156</v>
      </c>
      <c r="C84" s="90" t="s">
        <v>288</v>
      </c>
      <c r="D84" s="223"/>
      <c r="E84" s="223"/>
    </row>
    <row r="85" spans="2:5" ht="12.75" collapsed="1">
      <c r="B85" s="91"/>
      <c r="D85" s="100"/>
      <c r="E85" s="100"/>
    </row>
    <row r="86" spans="1:5" ht="12.75">
      <c r="A86" s="106"/>
      <c r="B86" s="106" t="str">
        <f>D54</f>
        <v>Advocacy/Civic Engagement Training</v>
      </c>
      <c r="C86" s="106"/>
      <c r="D86" s="100"/>
      <c r="E86" s="100"/>
    </row>
    <row r="87" spans="1:5" ht="12.75">
      <c r="A87" s="106"/>
      <c r="B87" s="106" t="str">
        <f>CONCATENATE("Yes = ",COUNTA(D55:D84),TEXT((COUNTA(D55:D84)/ROWS(D55:D84)),"   (#%)"))</f>
        <v>Yes = 23   (77%)</v>
      </c>
      <c r="C87" s="106"/>
      <c r="D87" s="100"/>
      <c r="E87" s="100"/>
    </row>
    <row r="88" spans="1:5" ht="12.75">
      <c r="A88" s="106"/>
      <c r="B88" s="106" t="str">
        <f>CONCATENATE("No = ",ROWS(D55:D84)-COUNTA(D55:D84),TEXT(((ROWS(D55:D84)-COUNTA(D55:D84))/ROWS(D55:D84)),"   (#%)"))</f>
        <v>No = 7   (23%)</v>
      </c>
      <c r="C88" s="106"/>
      <c r="D88" s="100"/>
      <c r="E88" s="100"/>
    </row>
    <row r="89" spans="1:5" ht="12.75">
      <c r="A89" s="106"/>
      <c r="B89" s="106"/>
      <c r="C89" s="106"/>
      <c r="D89" s="100"/>
      <c r="E89" s="100"/>
    </row>
    <row r="90" spans="1:3" ht="12.75">
      <c r="A90" s="106"/>
      <c r="B90" s="106"/>
      <c r="C90" s="216" t="s">
        <v>1323</v>
      </c>
    </row>
    <row r="91" spans="3:10" ht="12.75">
      <c r="C91" s="90" t="s">
        <v>1698</v>
      </c>
      <c r="I91" s="96">
        <v>2011</v>
      </c>
      <c r="J91" s="96">
        <v>2014</v>
      </c>
    </row>
    <row r="92" ht="12.75" hidden="1" outlineLevel="1"/>
    <row r="93" spans="3:13" ht="12.75" hidden="1" outlineLevel="1">
      <c r="C93" s="106">
        <v>2011</v>
      </c>
      <c r="D93" s="106">
        <v>2014</v>
      </c>
      <c r="E93" s="278" t="s">
        <v>1322</v>
      </c>
      <c r="F93" s="278"/>
      <c r="G93" s="96"/>
      <c r="H93" s="96"/>
      <c r="I93" s="96" t="s">
        <v>1508</v>
      </c>
      <c r="J93" s="96">
        <v>20.11</v>
      </c>
      <c r="K93" s="96">
        <v>20.14</v>
      </c>
      <c r="L93" s="96"/>
      <c r="M93" s="96"/>
    </row>
    <row r="94" spans="3:13" ht="12.75" hidden="1" outlineLevel="1">
      <c r="C94" s="147" t="str">
        <f>CONCATENATE("Yes"," = ",I94,CONCATENATE("    (",TEXT(I94/($H$653+$H$652),"#%"),")"))</f>
        <v>Yes = 18    (67%)</v>
      </c>
      <c r="D94" s="147" t="str">
        <f>B87</f>
        <v>Yes = 23   (77%)</v>
      </c>
      <c r="E94" s="189">
        <f>K94-J94</f>
        <v>0.10000000000000009</v>
      </c>
      <c r="F94" s="147"/>
      <c r="G94" s="96"/>
      <c r="H94" s="96" t="s">
        <v>163</v>
      </c>
      <c r="I94" s="96">
        <v>18</v>
      </c>
      <c r="J94" s="96">
        <f>(I94/(I94+I95))</f>
        <v>0.6666666666666666</v>
      </c>
      <c r="K94" s="96">
        <f>(COUNTIF(D55:D84,"x")/ROWS(D55:D84))</f>
        <v>0.7666666666666667</v>
      </c>
      <c r="L94" s="96"/>
      <c r="M94" s="96"/>
    </row>
    <row r="95" spans="3:13" ht="12.75" hidden="1" outlineLevel="1">
      <c r="C95" s="147" t="str">
        <f>CONCATENATE("No","   = ",I95,CONCATENATE("    (",TEXT(I95/($H$653+$H$652),"#%"),")"))</f>
        <v>No   = 9    (33%)</v>
      </c>
      <c r="D95" s="147" t="str">
        <f>B88</f>
        <v>No = 7   (23%)</v>
      </c>
      <c r="E95" s="189">
        <f>K95-J95</f>
        <v>-0.09999999999999998</v>
      </c>
      <c r="F95" s="147"/>
      <c r="G95" s="96"/>
      <c r="H95" s="96" t="s">
        <v>164</v>
      </c>
      <c r="I95" s="96">
        <v>9</v>
      </c>
      <c r="J95" s="96">
        <f>(I95/(I94+I95))</f>
        <v>0.3333333333333333</v>
      </c>
      <c r="K95" s="96">
        <f>(COUNTIF(D55:D84,"")/ROWS(D55:D84))</f>
        <v>0.23333333333333334</v>
      </c>
      <c r="L95" s="96"/>
      <c r="M95" s="96"/>
    </row>
    <row r="96" spans="7:13" ht="12.75" collapsed="1">
      <c r="G96" s="96"/>
      <c r="H96" s="96"/>
      <c r="I96" s="96"/>
      <c r="J96" s="96"/>
      <c r="K96" s="96"/>
      <c r="L96" s="96"/>
      <c r="M96" s="96"/>
    </row>
    <row r="97" s="106" customFormat="1" ht="12.75">
      <c r="B97" s="106" t="str">
        <f>CONCATENATE(E54," = ",COUNTA(E55:E84),TEXT((COUNTA(E55:E84)/ROWS(E55:E84)),"   (#%)"))</f>
        <v>Dedicated Funding Sources = 15   (50%)</v>
      </c>
    </row>
    <row r="98" s="106" customFormat="1" ht="12.75">
      <c r="B98" s="106" t="str">
        <f>CONCATENATE("Yes = ",COUNTA(E55:E84),TEXT((COUNTA(E55:E84)/ROWS(E55:E84)),"   (#%)"))</f>
        <v>Yes = 15   (50%)</v>
      </c>
    </row>
    <row r="99" s="106" customFormat="1" ht="12.75">
      <c r="B99" s="106" t="str">
        <f>CONCATENATE("No = ",ROWS(E55:E84)-COUNTA(E55:E84),TEXT(((ROWS(E55:E84)-COUNTA(E55:E84))/ROWS(E55:E84)),"   (#%)"))</f>
        <v>No = 15   (50%)</v>
      </c>
    </row>
    <row r="100" s="106" customFormat="1" ht="12.75"/>
    <row r="101" s="106" customFormat="1" ht="12.75">
      <c r="C101" s="216" t="s">
        <v>1323</v>
      </c>
    </row>
    <row r="102" ht="12.75">
      <c r="C102" s="90" t="s">
        <v>1699</v>
      </c>
    </row>
    <row r="103" ht="12.75" hidden="1" outlineLevel="1"/>
    <row r="104" spans="3:13" ht="12.75" hidden="1" outlineLevel="1">
      <c r="C104" s="106">
        <v>2011</v>
      </c>
      <c r="D104" s="106">
        <v>2014</v>
      </c>
      <c r="E104" s="278" t="s">
        <v>1322</v>
      </c>
      <c r="F104" s="278"/>
      <c r="G104" s="96"/>
      <c r="H104" s="96"/>
      <c r="I104" s="96" t="s">
        <v>1508</v>
      </c>
      <c r="J104" s="96">
        <v>20.11</v>
      </c>
      <c r="K104" s="96">
        <v>20.14</v>
      </c>
      <c r="L104" s="96"/>
      <c r="M104" s="96"/>
    </row>
    <row r="105" spans="3:13" ht="12.75" hidden="1" outlineLevel="1">
      <c r="C105" s="147" t="str">
        <f>CONCATENATE("Yes"," = ",I105,CONCATENATE("    (",TEXT(I105/($H$653+$H$652),"#%"),")"))</f>
        <v>Yes = 10    (37%)</v>
      </c>
      <c r="D105" s="147" t="str">
        <f>B98</f>
        <v>Yes = 15   (50%)</v>
      </c>
      <c r="E105" s="189">
        <f>K105-J105</f>
        <v>-0.05555555555555558</v>
      </c>
      <c r="F105" s="147"/>
      <c r="G105" s="96"/>
      <c r="H105" s="96" t="s">
        <v>163</v>
      </c>
      <c r="I105" s="96">
        <v>10</v>
      </c>
      <c r="J105" s="96">
        <f>(I105/(I105+I106))</f>
        <v>0.5555555555555556</v>
      </c>
      <c r="K105" s="96">
        <f>(COUNTIF(E55:E84,"x")/ROWS(E55:E84))</f>
        <v>0.5</v>
      </c>
      <c r="L105" s="96"/>
      <c r="M105" s="96"/>
    </row>
    <row r="106" spans="3:13" ht="12.75" hidden="1" outlineLevel="1">
      <c r="C106" s="147" t="str">
        <f>CONCATENATE("No","   = ",I106,CONCATENATE("    (",TEXT(I106/($H$653+$H$652),"#%"),")"))</f>
        <v>No   = 8    (30%)</v>
      </c>
      <c r="D106" s="147" t="str">
        <f>B99</f>
        <v>No = 15   (50%)</v>
      </c>
      <c r="E106" s="189">
        <f>K106-J106</f>
        <v>0.05555555555555558</v>
      </c>
      <c r="F106" s="147"/>
      <c r="G106" s="96"/>
      <c r="H106" s="96" t="s">
        <v>164</v>
      </c>
      <c r="I106" s="96">
        <v>8</v>
      </c>
      <c r="J106" s="96">
        <f>(I106/(I105+I106))</f>
        <v>0.4444444444444444</v>
      </c>
      <c r="K106" s="96">
        <f>1-K105</f>
        <v>0.5</v>
      </c>
      <c r="L106" s="96"/>
      <c r="M106" s="96"/>
    </row>
    <row r="107" spans="7:13" ht="12.75" collapsed="1">
      <c r="G107" s="96"/>
      <c r="H107" s="96"/>
      <c r="I107" s="96"/>
      <c r="J107" s="96"/>
      <c r="K107" s="96"/>
      <c r="L107" s="96"/>
      <c r="M107" s="96"/>
    </row>
    <row r="108" spans="1:2" s="119" customFormat="1" ht="15">
      <c r="A108" s="117">
        <v>3</v>
      </c>
      <c r="B108" s="119" t="s">
        <v>20</v>
      </c>
    </row>
    <row r="109" spans="2:4" s="130" customFormat="1" ht="12.75" hidden="1" outlineLevel="1">
      <c r="B109" s="185" t="s">
        <v>324</v>
      </c>
      <c r="C109" s="185" t="s">
        <v>189</v>
      </c>
      <c r="D109" s="130" t="s">
        <v>721</v>
      </c>
    </row>
    <row r="110" spans="2:4" ht="12.75" hidden="1" outlineLevel="1">
      <c r="B110" s="91" t="s">
        <v>140</v>
      </c>
      <c r="C110" s="90" t="s">
        <v>341</v>
      </c>
      <c r="D110" s="231"/>
    </row>
    <row r="111" spans="2:4" ht="12.75" hidden="1" outlineLevel="1">
      <c r="B111" s="91" t="s">
        <v>332</v>
      </c>
      <c r="C111" s="90" t="s">
        <v>554</v>
      </c>
      <c r="D111" s="231"/>
    </row>
    <row r="112" spans="2:4" ht="12.75" hidden="1" outlineLevel="1">
      <c r="B112" s="91" t="s">
        <v>332</v>
      </c>
      <c r="C112" s="90" t="s">
        <v>436</v>
      </c>
      <c r="D112" s="231"/>
    </row>
    <row r="113" spans="2:4" ht="12.75" hidden="1" outlineLevel="1">
      <c r="B113" s="91" t="s">
        <v>332</v>
      </c>
      <c r="C113" s="90" t="s">
        <v>286</v>
      </c>
      <c r="D113" s="231"/>
    </row>
    <row r="114" spans="2:4" ht="12.75" hidden="1" outlineLevel="1">
      <c r="B114" s="91" t="s">
        <v>141</v>
      </c>
      <c r="C114" s="90" t="s">
        <v>445</v>
      </c>
      <c r="D114" s="223" t="s">
        <v>201</v>
      </c>
    </row>
    <row r="115" spans="2:4" ht="12.75" hidden="1" outlineLevel="1">
      <c r="B115" s="91" t="s">
        <v>146</v>
      </c>
      <c r="C115" s="90" t="s">
        <v>349</v>
      </c>
      <c r="D115" s="223"/>
    </row>
    <row r="116" spans="2:4" ht="12.75" hidden="1" outlineLevel="1">
      <c r="B116" s="91" t="s">
        <v>146</v>
      </c>
      <c r="C116" s="90" t="s">
        <v>550</v>
      </c>
      <c r="D116" s="223"/>
    </row>
    <row r="117" spans="2:4" ht="12.75" hidden="1" outlineLevel="1">
      <c r="B117" s="91" t="s">
        <v>142</v>
      </c>
      <c r="C117" s="90" t="s">
        <v>343</v>
      </c>
      <c r="D117" s="223" t="s">
        <v>201</v>
      </c>
    </row>
    <row r="118" spans="2:11" ht="12.75" hidden="1" outlineLevel="1">
      <c r="B118" s="91" t="s">
        <v>143</v>
      </c>
      <c r="C118" s="90" t="s">
        <v>437</v>
      </c>
      <c r="D118" s="223" t="s">
        <v>201</v>
      </c>
      <c r="E118" s="90" t="s">
        <v>1646</v>
      </c>
      <c r="H118" s="96"/>
      <c r="I118" s="96"/>
      <c r="J118" s="96"/>
      <c r="K118" s="96"/>
    </row>
    <row r="119" spans="2:11" ht="12.75" hidden="1" outlineLevel="1">
      <c r="B119" s="91" t="s">
        <v>143</v>
      </c>
      <c r="C119" s="90" t="s">
        <v>287</v>
      </c>
      <c r="D119" s="223"/>
      <c r="H119" s="96"/>
      <c r="I119" s="96"/>
      <c r="J119" s="96"/>
      <c r="K119" s="96"/>
    </row>
    <row r="120" spans="2:11" ht="12.75" hidden="1" outlineLevel="1">
      <c r="B120" s="91" t="s">
        <v>144</v>
      </c>
      <c r="C120" s="90" t="s">
        <v>438</v>
      </c>
      <c r="D120" s="223" t="s">
        <v>201</v>
      </c>
      <c r="H120" s="96"/>
      <c r="I120" s="96"/>
      <c r="J120" s="96"/>
      <c r="K120" s="96"/>
    </row>
    <row r="121" spans="2:11" ht="12.75" hidden="1" outlineLevel="1">
      <c r="B121" s="91" t="s">
        <v>153</v>
      </c>
      <c r="C121" s="90" t="s">
        <v>444</v>
      </c>
      <c r="D121" s="223" t="s">
        <v>201</v>
      </c>
      <c r="H121" s="96"/>
      <c r="I121" s="96"/>
      <c r="J121" s="96"/>
      <c r="K121" s="96"/>
    </row>
    <row r="122" spans="2:4" ht="12.75" hidden="1" outlineLevel="1">
      <c r="B122" s="91" t="s">
        <v>153</v>
      </c>
      <c r="C122" s="90" t="s">
        <v>446</v>
      </c>
      <c r="D122" s="223"/>
    </row>
    <row r="123" spans="2:4" ht="12.75" hidden="1" outlineLevel="1">
      <c r="B123" s="91" t="s">
        <v>139</v>
      </c>
      <c r="C123" s="90" t="s">
        <v>551</v>
      </c>
      <c r="D123" s="223" t="s">
        <v>201</v>
      </c>
    </row>
    <row r="124" spans="2:4" ht="12.75" hidden="1" outlineLevel="1">
      <c r="B124" s="91" t="s">
        <v>148</v>
      </c>
      <c r="C124" s="90" t="s">
        <v>552</v>
      </c>
      <c r="D124" s="223" t="s">
        <v>201</v>
      </c>
    </row>
    <row r="125" spans="2:4" ht="12.75" hidden="1" outlineLevel="1">
      <c r="B125" s="91" t="s">
        <v>154</v>
      </c>
      <c r="C125" s="90" t="s">
        <v>352</v>
      </c>
      <c r="D125" s="223"/>
    </row>
    <row r="126" spans="2:4" ht="12.75" hidden="1" outlineLevel="1">
      <c r="B126" s="91" t="s">
        <v>154</v>
      </c>
      <c r="C126" s="90" t="s">
        <v>342</v>
      </c>
      <c r="D126" s="223"/>
    </row>
    <row r="127" spans="2:4" ht="12.75" hidden="1" outlineLevel="1">
      <c r="B127" s="91" t="s">
        <v>336</v>
      </c>
      <c r="C127" s="90" t="s">
        <v>281</v>
      </c>
      <c r="D127" s="223"/>
    </row>
    <row r="128" spans="2:4" ht="12.75" hidden="1" outlineLevel="1">
      <c r="B128" s="91" t="s">
        <v>334</v>
      </c>
      <c r="C128" s="90" t="s">
        <v>350</v>
      </c>
      <c r="D128" s="223"/>
    </row>
    <row r="129" spans="2:4" ht="12.75" hidden="1" outlineLevel="1">
      <c r="B129" s="91" t="s">
        <v>145</v>
      </c>
      <c r="C129" s="90" t="s">
        <v>439</v>
      </c>
      <c r="D129" s="223"/>
    </row>
    <row r="130" spans="2:4" ht="12.75" hidden="1" outlineLevel="1">
      <c r="B130" s="91" t="s">
        <v>335</v>
      </c>
      <c r="C130" s="90" t="s">
        <v>283</v>
      </c>
      <c r="D130" s="223"/>
    </row>
    <row r="131" spans="2:4" ht="12.75" hidden="1" outlineLevel="1">
      <c r="B131" s="91" t="s">
        <v>152</v>
      </c>
      <c r="C131" s="90" t="s">
        <v>408</v>
      </c>
      <c r="D131" s="223" t="s">
        <v>201</v>
      </c>
    </row>
    <row r="132" spans="2:4" ht="12.75" hidden="1" outlineLevel="1">
      <c r="B132" s="91" t="s">
        <v>149</v>
      </c>
      <c r="C132" s="90" t="s">
        <v>277</v>
      </c>
      <c r="D132" s="223"/>
    </row>
    <row r="133" spans="2:4" ht="12.75" hidden="1" outlineLevel="1">
      <c r="B133" s="91" t="s">
        <v>150</v>
      </c>
      <c r="C133" s="90" t="s">
        <v>278</v>
      </c>
      <c r="D133" s="223" t="s">
        <v>201</v>
      </c>
    </row>
    <row r="134" spans="2:4" ht="12.75" hidden="1" outlineLevel="1">
      <c r="B134" s="91" t="s">
        <v>155</v>
      </c>
      <c r="C134" s="90" t="s">
        <v>351</v>
      </c>
      <c r="D134" s="223"/>
    </row>
    <row r="135" spans="2:4" ht="12.75" hidden="1" outlineLevel="1">
      <c r="B135" s="91" t="s">
        <v>155</v>
      </c>
      <c r="C135" s="90" t="s">
        <v>279</v>
      </c>
      <c r="D135" s="223"/>
    </row>
    <row r="136" spans="2:4" ht="12.75" hidden="1" outlineLevel="1">
      <c r="B136" s="91" t="s">
        <v>147</v>
      </c>
      <c r="C136" s="90" t="s">
        <v>353</v>
      </c>
      <c r="D136" s="223" t="s">
        <v>201</v>
      </c>
    </row>
    <row r="137" spans="2:4" ht="12.75" hidden="1" outlineLevel="1">
      <c r="B137" s="91" t="s">
        <v>151</v>
      </c>
      <c r="C137" s="90" t="s">
        <v>282</v>
      </c>
      <c r="D137" s="231"/>
    </row>
    <row r="138" spans="2:4" ht="12.75" hidden="1" outlineLevel="1">
      <c r="B138" s="91" t="s">
        <v>337</v>
      </c>
      <c r="C138" s="90" t="s">
        <v>553</v>
      </c>
      <c r="D138" s="231"/>
    </row>
    <row r="139" spans="2:4" ht="12.75" hidden="1" outlineLevel="1">
      <c r="B139" s="91" t="s">
        <v>156</v>
      </c>
      <c r="C139" s="90" t="s">
        <v>288</v>
      </c>
      <c r="D139" s="231"/>
    </row>
    <row r="140" spans="2:4" ht="12.75" collapsed="1">
      <c r="B140" s="91"/>
      <c r="D140" s="100"/>
    </row>
    <row r="141" spans="2:4" s="107" customFormat="1" ht="12.75">
      <c r="B141" s="107" t="str">
        <f>CONCATENATE("Yes = ",COUNTA($D$110:$D$139),CONCATENATE("  (",TEXT((COUNTA($D$110:$D$139)/ROWS($D$110:$D$139)),"#%"),")"))</f>
        <v>Yes = 10  (33%)</v>
      </c>
      <c r="D141" s="250"/>
    </row>
    <row r="142" spans="2:4" s="107" customFormat="1" ht="12.75">
      <c r="B142" s="107" t="str">
        <f>CONCATENATE("No = ",COUNTBLANK($D$110:$D$139),CONCATENATE("  (",TEXT((COUNTBLANK($D$110:$D$139)/ROWS($D$110:$D$139)),"#%"),")"))</f>
        <v>No = 20  (67%)</v>
      </c>
      <c r="D142" s="250"/>
    </row>
    <row r="143" s="107" customFormat="1" ht="12.75">
      <c r="D143" s="250"/>
    </row>
    <row r="144" s="107" customFormat="1" ht="12.75">
      <c r="C144" s="139" t="s">
        <v>1323</v>
      </c>
    </row>
    <row r="145" spans="3:10" ht="12.75">
      <c r="C145" s="90" t="s">
        <v>1700</v>
      </c>
      <c r="I145" s="90">
        <v>2011</v>
      </c>
      <c r="J145" s="90">
        <v>2014</v>
      </c>
    </row>
    <row r="146" spans="8:11" ht="12.75" hidden="1" outlineLevel="1">
      <c r="H146" s="96"/>
      <c r="I146" s="96"/>
      <c r="J146" s="96"/>
      <c r="K146" s="96"/>
    </row>
    <row r="147" spans="3:11" ht="12.75" hidden="1" outlineLevel="1">
      <c r="C147" s="106">
        <v>2011</v>
      </c>
      <c r="D147" s="106">
        <v>2014</v>
      </c>
      <c r="E147" s="278" t="s">
        <v>1322</v>
      </c>
      <c r="F147" s="278"/>
      <c r="H147" s="96"/>
      <c r="I147" s="96" t="s">
        <v>1508</v>
      </c>
      <c r="J147" s="96">
        <v>20.11</v>
      </c>
      <c r="K147" s="96">
        <v>20.14</v>
      </c>
    </row>
    <row r="148" spans="3:11" ht="12.75" hidden="1" outlineLevel="1">
      <c r="C148" s="147" t="str">
        <f>CONCATENATE("Yes"," = ",I148,CONCATENATE("    (",TEXT(I148/($H$653+$H$652),"#%"),")"))</f>
        <v>Yes = 11    (41%)</v>
      </c>
      <c r="D148" s="147" t="str">
        <f>B141</f>
        <v>Yes = 10  (33%)</v>
      </c>
      <c r="E148" s="189">
        <f>K148-J148</f>
        <v>-0.07407407407407407</v>
      </c>
      <c r="F148" s="147"/>
      <c r="H148" s="96" t="s">
        <v>163</v>
      </c>
      <c r="I148" s="96">
        <v>11</v>
      </c>
      <c r="J148" s="96">
        <f>(I148/(I148+I149))</f>
        <v>0.4074074074074074</v>
      </c>
      <c r="K148" s="96">
        <f>(COUNTIF(D110:D139,"x")/ROWS(D110:D139))</f>
        <v>0.3333333333333333</v>
      </c>
    </row>
    <row r="149" spans="3:11" ht="12.75" hidden="1" outlineLevel="1">
      <c r="C149" s="147" t="str">
        <f>CONCATENATE("No","   = ",I149,CONCATENATE("    (",TEXT(I149/($H$653+$H$652),"#%"),")"))</f>
        <v>No   = 16    (59%)</v>
      </c>
      <c r="D149" s="147" t="str">
        <f>B142</f>
        <v>No = 20  (67%)</v>
      </c>
      <c r="E149" s="189">
        <f>K149-J149</f>
        <v>0.07407407407407418</v>
      </c>
      <c r="F149" s="147"/>
      <c r="H149" s="96" t="s">
        <v>164</v>
      </c>
      <c r="I149" s="96">
        <v>16</v>
      </c>
      <c r="J149" s="96">
        <f>(I149/(I148+I149))</f>
        <v>0.5925925925925926</v>
      </c>
      <c r="K149" s="96">
        <f>1-K148</f>
        <v>0.6666666666666667</v>
      </c>
    </row>
    <row r="150" ht="12.75" collapsed="1"/>
    <row r="151" spans="1:2" s="119" customFormat="1" ht="15">
      <c r="A151" s="117">
        <v>4</v>
      </c>
      <c r="B151" s="118" t="s">
        <v>304</v>
      </c>
    </row>
    <row r="152" spans="2:4" s="130" customFormat="1" ht="12.75" customHeight="1" hidden="1" outlineLevel="1">
      <c r="B152" s="185" t="s">
        <v>324</v>
      </c>
      <c r="C152" s="185" t="s">
        <v>189</v>
      </c>
      <c r="D152" s="130" t="s">
        <v>722</v>
      </c>
    </row>
    <row r="153" spans="2:4" ht="13.5" customHeight="1" hidden="1" outlineLevel="1">
      <c r="B153" s="91" t="s">
        <v>140</v>
      </c>
      <c r="C153" s="90" t="s">
        <v>341</v>
      </c>
      <c r="D153" s="90" t="s">
        <v>723</v>
      </c>
    </row>
    <row r="154" spans="2:4" ht="13.5" customHeight="1" hidden="1" outlineLevel="1">
      <c r="B154" s="91" t="s">
        <v>332</v>
      </c>
      <c r="C154" s="90" t="s">
        <v>554</v>
      </c>
      <c r="D154" s="90" t="s">
        <v>724</v>
      </c>
    </row>
    <row r="155" spans="2:4" ht="13.5" customHeight="1" hidden="1" outlineLevel="1">
      <c r="B155" s="91" t="s">
        <v>332</v>
      </c>
      <c r="C155" s="90" t="s">
        <v>436</v>
      </c>
      <c r="D155" s="90" t="s">
        <v>742</v>
      </c>
    </row>
    <row r="156" spans="2:4" ht="13.5" customHeight="1" hidden="1" outlineLevel="1">
      <c r="B156" s="91" t="s">
        <v>332</v>
      </c>
      <c r="C156" s="90" t="s">
        <v>286</v>
      </c>
      <c r="D156" s="90" t="s">
        <v>725</v>
      </c>
    </row>
    <row r="157" spans="2:4" ht="13.5" customHeight="1" hidden="1" outlineLevel="1">
      <c r="B157" s="91" t="s">
        <v>141</v>
      </c>
      <c r="C157" s="90" t="s">
        <v>445</v>
      </c>
      <c r="D157" s="90" t="s">
        <v>687</v>
      </c>
    </row>
    <row r="158" spans="2:4" ht="13.5" customHeight="1" hidden="1" outlineLevel="1">
      <c r="B158" s="91" t="s">
        <v>146</v>
      </c>
      <c r="C158" s="90" t="s">
        <v>349</v>
      </c>
      <c r="D158" s="90" t="s">
        <v>1661</v>
      </c>
    </row>
    <row r="159" spans="2:4" ht="13.5" customHeight="1" hidden="1" outlineLevel="1">
      <c r="B159" s="91" t="s">
        <v>146</v>
      </c>
      <c r="C159" s="90" t="s">
        <v>550</v>
      </c>
      <c r="D159" s="90" t="s">
        <v>1676</v>
      </c>
    </row>
    <row r="160" spans="2:4" ht="13.5" customHeight="1" hidden="1" outlineLevel="1">
      <c r="B160" s="91" t="s">
        <v>142</v>
      </c>
      <c r="C160" s="90" t="s">
        <v>343</v>
      </c>
      <c r="D160" s="90" t="s">
        <v>728</v>
      </c>
    </row>
    <row r="161" spans="2:4" ht="13.5" customHeight="1" hidden="1" outlineLevel="1">
      <c r="B161" s="91" t="s">
        <v>143</v>
      </c>
      <c r="C161" s="90" t="s">
        <v>437</v>
      </c>
      <c r="D161" s="90" t="s">
        <v>1647</v>
      </c>
    </row>
    <row r="162" spans="2:4" ht="13.5" customHeight="1" hidden="1" outlineLevel="1">
      <c r="B162" s="91" t="s">
        <v>143</v>
      </c>
      <c r="C162" s="90" t="s">
        <v>287</v>
      </c>
      <c r="D162" s="90" t="s">
        <v>729</v>
      </c>
    </row>
    <row r="163" spans="2:4" ht="13.5" customHeight="1" hidden="1" outlineLevel="1">
      <c r="B163" s="91" t="s">
        <v>144</v>
      </c>
      <c r="C163" s="90" t="s">
        <v>438</v>
      </c>
      <c r="D163" s="90" t="s">
        <v>730</v>
      </c>
    </row>
    <row r="164" spans="2:4" ht="13.5" customHeight="1" hidden="1" outlineLevel="1">
      <c r="B164" s="91" t="s">
        <v>153</v>
      </c>
      <c r="C164" s="90" t="s">
        <v>444</v>
      </c>
      <c r="D164" s="90" t="s">
        <v>558</v>
      </c>
    </row>
    <row r="165" spans="2:4" ht="12.75" customHeight="1" hidden="1" outlineLevel="1">
      <c r="B165" s="91" t="s">
        <v>153</v>
      </c>
      <c r="C165" s="90" t="s">
        <v>446</v>
      </c>
      <c r="D165" s="90" t="s">
        <v>731</v>
      </c>
    </row>
    <row r="166" spans="2:4" ht="12.75" customHeight="1" hidden="1" outlineLevel="1">
      <c r="B166" s="91" t="s">
        <v>139</v>
      </c>
      <c r="C166" s="90" t="s">
        <v>551</v>
      </c>
      <c r="D166" s="90" t="s">
        <v>743</v>
      </c>
    </row>
    <row r="167" spans="2:4" ht="12.75" customHeight="1" hidden="1" outlineLevel="1">
      <c r="B167" s="91" t="s">
        <v>148</v>
      </c>
      <c r="C167" s="90" t="s">
        <v>552</v>
      </c>
      <c r="D167" s="90" t="s">
        <v>732</v>
      </c>
    </row>
    <row r="168" spans="2:4" ht="12.75" customHeight="1" hidden="1" outlineLevel="1">
      <c r="B168" s="91" t="s">
        <v>154</v>
      </c>
      <c r="C168" s="90" t="s">
        <v>352</v>
      </c>
      <c r="D168" s="90" t="s">
        <v>738</v>
      </c>
    </row>
    <row r="169" spans="2:4" ht="12.75" customHeight="1" hidden="1" outlineLevel="1">
      <c r="B169" s="91" t="s">
        <v>154</v>
      </c>
      <c r="C169" s="90" t="s">
        <v>342</v>
      </c>
      <c r="D169" s="90" t="s">
        <v>744</v>
      </c>
    </row>
    <row r="170" spans="2:4" ht="12.75" customHeight="1" hidden="1" outlineLevel="1">
      <c r="B170" s="91" t="s">
        <v>336</v>
      </c>
      <c r="C170" s="90" t="s">
        <v>281</v>
      </c>
      <c r="D170" s="90" t="s">
        <v>733</v>
      </c>
    </row>
    <row r="171" spans="2:4" ht="12.75" customHeight="1" hidden="1" outlineLevel="1">
      <c r="B171" s="91" t="s">
        <v>334</v>
      </c>
      <c r="C171" s="90" t="s">
        <v>350</v>
      </c>
      <c r="D171" s="90" t="s">
        <v>745</v>
      </c>
    </row>
    <row r="172" spans="2:4" ht="12.75" customHeight="1" hidden="1" outlineLevel="1">
      <c r="B172" s="91" t="s">
        <v>145</v>
      </c>
      <c r="C172" s="90" t="s">
        <v>439</v>
      </c>
      <c r="D172" s="90" t="s">
        <v>739</v>
      </c>
    </row>
    <row r="173" spans="2:4" ht="12.75" customHeight="1" hidden="1" outlineLevel="1">
      <c r="B173" s="91" t="s">
        <v>335</v>
      </c>
      <c r="C173" s="90" t="s">
        <v>283</v>
      </c>
      <c r="D173" s="90" t="s">
        <v>746</v>
      </c>
    </row>
    <row r="174" spans="2:11" ht="12.75" customHeight="1" hidden="1" outlineLevel="1">
      <c r="B174" s="91" t="s">
        <v>152</v>
      </c>
      <c r="C174" s="90" t="s">
        <v>408</v>
      </c>
      <c r="D174" s="90" t="s">
        <v>705</v>
      </c>
      <c r="H174" s="96"/>
      <c r="I174" s="96"/>
      <c r="J174" s="96"/>
      <c r="K174" s="96"/>
    </row>
    <row r="175" spans="2:11" ht="12.75" customHeight="1" hidden="1" outlineLevel="1">
      <c r="B175" s="91" t="s">
        <v>149</v>
      </c>
      <c r="C175" s="90" t="s">
        <v>277</v>
      </c>
      <c r="D175" s="90" t="s">
        <v>734</v>
      </c>
      <c r="H175" s="96"/>
      <c r="I175" s="96"/>
      <c r="J175" s="96"/>
      <c r="K175" s="96"/>
    </row>
    <row r="176" spans="2:11" ht="12.75" customHeight="1" hidden="1" outlineLevel="1">
      <c r="B176" s="91" t="s">
        <v>150</v>
      </c>
      <c r="C176" s="90" t="s">
        <v>278</v>
      </c>
      <c r="D176" s="90" t="s">
        <v>737</v>
      </c>
      <c r="H176" s="96"/>
      <c r="I176" s="96"/>
      <c r="J176" s="96"/>
      <c r="K176" s="96"/>
    </row>
    <row r="177" spans="2:11" ht="12.75" hidden="1" outlineLevel="1">
      <c r="B177" s="91" t="s">
        <v>155</v>
      </c>
      <c r="C177" s="90" t="s">
        <v>351</v>
      </c>
      <c r="D177" s="90" t="s">
        <v>735</v>
      </c>
      <c r="H177" s="96"/>
      <c r="I177" s="96"/>
      <c r="J177" s="96"/>
      <c r="K177" s="96"/>
    </row>
    <row r="178" spans="2:4" ht="12.75" hidden="1" outlineLevel="1">
      <c r="B178" s="91" t="s">
        <v>155</v>
      </c>
      <c r="C178" s="90" t="s">
        <v>279</v>
      </c>
      <c r="D178" s="90" t="s">
        <v>1636</v>
      </c>
    </row>
    <row r="179" spans="2:4" ht="12.75" hidden="1" outlineLevel="1">
      <c r="B179" s="91" t="s">
        <v>147</v>
      </c>
      <c r="C179" s="90" t="s">
        <v>353</v>
      </c>
      <c r="D179" s="90" t="s">
        <v>740</v>
      </c>
    </row>
    <row r="180" spans="2:4" ht="12.75" hidden="1" outlineLevel="1">
      <c r="B180" s="91" t="s">
        <v>151</v>
      </c>
      <c r="C180" s="90" t="s">
        <v>282</v>
      </c>
      <c r="D180" s="90" t="s">
        <v>752</v>
      </c>
    </row>
    <row r="181" spans="2:4" ht="12.75" hidden="1" outlineLevel="1">
      <c r="B181" s="91" t="s">
        <v>337</v>
      </c>
      <c r="C181" s="90" t="s">
        <v>553</v>
      </c>
      <c r="D181" s="90" t="s">
        <v>736</v>
      </c>
    </row>
    <row r="182" spans="2:4" ht="12.75" collapsed="1">
      <c r="B182" s="91" t="s">
        <v>156</v>
      </c>
      <c r="C182" s="90" t="s">
        <v>288</v>
      </c>
      <c r="D182" s="90" t="s">
        <v>741</v>
      </c>
    </row>
    <row r="183" spans="2:4" ht="12.75">
      <c r="B183" s="91"/>
      <c r="D183" s="238"/>
    </row>
    <row r="184" spans="2:4" s="107" customFormat="1" ht="12.75">
      <c r="B184" s="107" t="s">
        <v>208</v>
      </c>
      <c r="D184" s="251"/>
    </row>
    <row r="185" spans="3:4" s="107" customFormat="1" ht="12.75">
      <c r="C185" s="139" t="s">
        <v>1323</v>
      </c>
      <c r="D185" s="251"/>
    </row>
    <row r="186" spans="3:4" ht="12.75">
      <c r="C186" s="89" t="s">
        <v>1701</v>
      </c>
      <c r="D186" s="238"/>
    </row>
    <row r="187" spans="1:4" s="89" customFormat="1" ht="12.75">
      <c r="A187" s="100"/>
      <c r="D187" s="239"/>
    </row>
    <row r="188" spans="1:4" s="119" customFormat="1" ht="15">
      <c r="A188" s="117">
        <v>5</v>
      </c>
      <c r="B188" s="119" t="s">
        <v>305</v>
      </c>
      <c r="D188" s="112"/>
    </row>
    <row r="189" spans="2:5" s="130" customFormat="1" ht="12.75" customHeight="1" hidden="1" outlineLevel="1">
      <c r="B189" s="185" t="s">
        <v>324</v>
      </c>
      <c r="C189" s="185" t="s">
        <v>189</v>
      </c>
      <c r="D189" s="201" t="s">
        <v>1335</v>
      </c>
      <c r="E189" s="130" t="s">
        <v>1336</v>
      </c>
    </row>
    <row r="190" spans="2:5" ht="12.75" customHeight="1" hidden="1" outlineLevel="1">
      <c r="B190" s="91" t="s">
        <v>140</v>
      </c>
      <c r="C190" s="90" t="s">
        <v>341</v>
      </c>
      <c r="D190" s="200" t="s">
        <v>163</v>
      </c>
      <c r="E190" s="89" t="s">
        <v>1337</v>
      </c>
    </row>
    <row r="191" spans="2:5" ht="12.75" customHeight="1" hidden="1" outlineLevel="1">
      <c r="B191" s="91" t="s">
        <v>332</v>
      </c>
      <c r="C191" s="90" t="s">
        <v>554</v>
      </c>
      <c r="D191" s="200" t="s">
        <v>163</v>
      </c>
      <c r="E191" s="89" t="s">
        <v>1338</v>
      </c>
    </row>
    <row r="192" spans="2:5" ht="12.75" customHeight="1" hidden="1" outlineLevel="1">
      <c r="B192" s="91" t="s">
        <v>332</v>
      </c>
      <c r="C192" s="90" t="s">
        <v>436</v>
      </c>
      <c r="D192" s="200" t="s">
        <v>163</v>
      </c>
      <c r="E192" s="89" t="s">
        <v>1339</v>
      </c>
    </row>
    <row r="193" spans="2:5" ht="12.75" customHeight="1" hidden="1" outlineLevel="1">
      <c r="B193" s="91" t="s">
        <v>332</v>
      </c>
      <c r="C193" s="90" t="s">
        <v>286</v>
      </c>
      <c r="D193" s="200" t="s">
        <v>163</v>
      </c>
      <c r="E193" s="89" t="s">
        <v>1340</v>
      </c>
    </row>
    <row r="194" spans="2:18" ht="25.5" customHeight="1" hidden="1" outlineLevel="1">
      <c r="B194" s="240" t="s">
        <v>141</v>
      </c>
      <c r="C194" s="238" t="s">
        <v>445</v>
      </c>
      <c r="D194" s="252" t="s">
        <v>163</v>
      </c>
      <c r="E194" s="281" t="s">
        <v>1341</v>
      </c>
      <c r="F194" s="281"/>
      <c r="G194" s="281"/>
      <c r="H194" s="281"/>
      <c r="I194" s="281"/>
      <c r="J194" s="281"/>
      <c r="K194" s="281"/>
      <c r="L194" s="281"/>
      <c r="M194" s="281"/>
      <c r="N194" s="281"/>
      <c r="O194" s="281"/>
      <c r="P194" s="281"/>
      <c r="Q194" s="281"/>
      <c r="R194" s="281"/>
    </row>
    <row r="195" spans="2:5" ht="12.75" customHeight="1" hidden="1" outlineLevel="1">
      <c r="B195" s="91" t="s">
        <v>146</v>
      </c>
      <c r="C195" s="90" t="s">
        <v>349</v>
      </c>
      <c r="D195" s="200" t="s">
        <v>163</v>
      </c>
      <c r="E195" s="89" t="s">
        <v>1662</v>
      </c>
    </row>
    <row r="196" spans="2:18" ht="25.5" customHeight="1" hidden="1" outlineLevel="1">
      <c r="B196" s="240" t="s">
        <v>146</v>
      </c>
      <c r="C196" s="238" t="s">
        <v>550</v>
      </c>
      <c r="D196" s="252" t="s">
        <v>163</v>
      </c>
      <c r="E196" s="281" t="s">
        <v>1680</v>
      </c>
      <c r="F196" s="281"/>
      <c r="G196" s="281"/>
      <c r="H196" s="281"/>
      <c r="I196" s="281"/>
      <c r="J196" s="281"/>
      <c r="K196" s="281"/>
      <c r="L196" s="281"/>
      <c r="M196" s="281"/>
      <c r="N196" s="281"/>
      <c r="O196" s="281"/>
      <c r="P196" s="281"/>
      <c r="Q196" s="281"/>
      <c r="R196" s="281"/>
    </row>
    <row r="197" spans="2:5" ht="12.75" customHeight="1" hidden="1" outlineLevel="1">
      <c r="B197" s="91" t="s">
        <v>142</v>
      </c>
      <c r="C197" s="90" t="s">
        <v>343</v>
      </c>
      <c r="D197" s="200" t="s">
        <v>163</v>
      </c>
      <c r="E197" s="89" t="s">
        <v>1342</v>
      </c>
    </row>
    <row r="198" spans="2:5" ht="12.75" customHeight="1" hidden="1" outlineLevel="1">
      <c r="B198" s="91" t="s">
        <v>143</v>
      </c>
      <c r="C198" s="90" t="s">
        <v>437</v>
      </c>
      <c r="D198" s="200" t="s">
        <v>163</v>
      </c>
      <c r="E198" s="89" t="s">
        <v>1653</v>
      </c>
    </row>
    <row r="199" spans="2:5" ht="12.75" customHeight="1" hidden="1" outlineLevel="1">
      <c r="B199" s="91" t="s">
        <v>143</v>
      </c>
      <c r="C199" s="90" t="s">
        <v>287</v>
      </c>
      <c r="D199" s="200" t="s">
        <v>163</v>
      </c>
      <c r="E199" s="89" t="s">
        <v>1294</v>
      </c>
    </row>
    <row r="200" spans="2:5" ht="12.75" customHeight="1" hidden="1" outlineLevel="1">
      <c r="B200" s="91" t="s">
        <v>144</v>
      </c>
      <c r="C200" s="90" t="s">
        <v>438</v>
      </c>
      <c r="D200" s="200" t="s">
        <v>163</v>
      </c>
      <c r="E200" s="89" t="s">
        <v>1295</v>
      </c>
    </row>
    <row r="201" spans="2:11" ht="12.75" customHeight="1" hidden="1" outlineLevel="1">
      <c r="B201" s="91" t="s">
        <v>153</v>
      </c>
      <c r="C201" s="90" t="s">
        <v>444</v>
      </c>
      <c r="D201" s="200" t="s">
        <v>163</v>
      </c>
      <c r="E201" s="89" t="s">
        <v>1256</v>
      </c>
      <c r="H201" s="96"/>
      <c r="I201" s="96"/>
      <c r="J201" s="96"/>
      <c r="K201" s="96"/>
    </row>
    <row r="202" spans="2:11" ht="12.75" customHeight="1" hidden="1" outlineLevel="1">
      <c r="B202" s="91" t="s">
        <v>153</v>
      </c>
      <c r="C202" s="90" t="s">
        <v>446</v>
      </c>
      <c r="D202" s="200" t="s">
        <v>163</v>
      </c>
      <c r="E202" s="89" t="s">
        <v>1665</v>
      </c>
      <c r="H202" s="96"/>
      <c r="I202" s="96"/>
      <c r="J202" s="96"/>
      <c r="K202" s="96"/>
    </row>
    <row r="203" spans="2:11" ht="12.75" customHeight="1" hidden="1" outlineLevel="1">
      <c r="B203" s="91" t="s">
        <v>139</v>
      </c>
      <c r="C203" s="90" t="s">
        <v>551</v>
      </c>
      <c r="D203" s="200" t="s">
        <v>163</v>
      </c>
      <c r="E203" s="89" t="s">
        <v>1257</v>
      </c>
      <c r="H203" s="96"/>
      <c r="I203" s="96"/>
      <c r="J203" s="96"/>
      <c r="K203" s="96"/>
    </row>
    <row r="204" spans="2:11" ht="12.75" customHeight="1" hidden="1" outlineLevel="1">
      <c r="B204" s="91" t="s">
        <v>148</v>
      </c>
      <c r="C204" s="90" t="s">
        <v>552</v>
      </c>
      <c r="D204" s="200" t="s">
        <v>163</v>
      </c>
      <c r="E204" s="89" t="s">
        <v>1303</v>
      </c>
      <c r="H204" s="96"/>
      <c r="I204" s="96"/>
      <c r="J204" s="96"/>
      <c r="K204" s="96"/>
    </row>
    <row r="205" spans="2:5" ht="12.75" customHeight="1" hidden="1" outlineLevel="1">
      <c r="B205" s="91" t="s">
        <v>154</v>
      </c>
      <c r="C205" s="90" t="s">
        <v>342</v>
      </c>
      <c r="D205" s="200" t="s">
        <v>163</v>
      </c>
      <c r="E205" s="89" t="s">
        <v>1304</v>
      </c>
    </row>
    <row r="206" spans="2:5" ht="12.75" customHeight="1" hidden="1" outlineLevel="1">
      <c r="B206" s="91" t="s">
        <v>336</v>
      </c>
      <c r="C206" s="90" t="s">
        <v>281</v>
      </c>
      <c r="D206" s="200" t="s">
        <v>163</v>
      </c>
      <c r="E206" s="89" t="s">
        <v>1305</v>
      </c>
    </row>
    <row r="207" spans="2:5" ht="12.75" customHeight="1" hidden="1" outlineLevel="1">
      <c r="B207" s="91" t="s">
        <v>334</v>
      </c>
      <c r="C207" s="90" t="s">
        <v>350</v>
      </c>
      <c r="D207" s="200" t="s">
        <v>163</v>
      </c>
      <c r="E207" s="89" t="s">
        <v>1306</v>
      </c>
    </row>
    <row r="208" spans="2:18" ht="25.5" customHeight="1" hidden="1" outlineLevel="1">
      <c r="B208" s="241" t="s">
        <v>145</v>
      </c>
      <c r="C208" s="242" t="s">
        <v>439</v>
      </c>
      <c r="D208" s="252" t="s">
        <v>163</v>
      </c>
      <c r="E208" s="281" t="s">
        <v>1307</v>
      </c>
      <c r="F208" s="281"/>
      <c r="G208" s="281"/>
      <c r="H208" s="281"/>
      <c r="I208" s="281"/>
      <c r="J208" s="281"/>
      <c r="K208" s="281"/>
      <c r="L208" s="281"/>
      <c r="M208" s="281"/>
      <c r="N208" s="281"/>
      <c r="O208" s="281"/>
      <c r="P208" s="281"/>
      <c r="Q208" s="281"/>
      <c r="R208" s="281"/>
    </row>
    <row r="209" spans="2:5" ht="12.75" customHeight="1" hidden="1" outlineLevel="1">
      <c r="B209" s="91" t="s">
        <v>335</v>
      </c>
      <c r="C209" s="90" t="s">
        <v>283</v>
      </c>
      <c r="D209" s="200" t="s">
        <v>163</v>
      </c>
      <c r="E209" s="89" t="s">
        <v>1308</v>
      </c>
    </row>
    <row r="210" spans="2:5" ht="12.75" customHeight="1" hidden="1" outlineLevel="1">
      <c r="B210" s="91" t="s">
        <v>152</v>
      </c>
      <c r="C210" s="90" t="s">
        <v>408</v>
      </c>
      <c r="D210" s="200" t="s">
        <v>163</v>
      </c>
      <c r="E210" s="89" t="s">
        <v>1353</v>
      </c>
    </row>
    <row r="211" spans="2:5" ht="12.75" customHeight="1" hidden="1" outlineLevel="1">
      <c r="B211" s="91" t="s">
        <v>149</v>
      </c>
      <c r="C211" s="90" t="s">
        <v>277</v>
      </c>
      <c r="D211" s="200" t="s">
        <v>163</v>
      </c>
      <c r="E211" s="89" t="s">
        <v>1354</v>
      </c>
    </row>
    <row r="212" spans="2:5" ht="12.75" customHeight="1" hidden="1" outlineLevel="1">
      <c r="B212" s="91" t="s">
        <v>150</v>
      </c>
      <c r="C212" s="90" t="s">
        <v>278</v>
      </c>
      <c r="D212" s="200" t="s">
        <v>163</v>
      </c>
      <c r="E212" s="89" t="s">
        <v>1355</v>
      </c>
    </row>
    <row r="213" spans="2:5" ht="12.75" customHeight="1" hidden="1" outlineLevel="1">
      <c r="B213" s="91" t="s">
        <v>155</v>
      </c>
      <c r="C213" s="90" t="s">
        <v>351</v>
      </c>
      <c r="D213" s="200" t="s">
        <v>163</v>
      </c>
      <c r="E213" s="89" t="s">
        <v>1356</v>
      </c>
    </row>
    <row r="214" spans="2:18" ht="37.5" customHeight="1" hidden="1" outlineLevel="1">
      <c r="B214" s="243" t="s">
        <v>155</v>
      </c>
      <c r="C214" s="244" t="s">
        <v>279</v>
      </c>
      <c r="D214" s="253" t="s">
        <v>163</v>
      </c>
      <c r="E214" s="282" t="s">
        <v>1637</v>
      </c>
      <c r="F214" s="282"/>
      <c r="G214" s="282"/>
      <c r="H214" s="282"/>
      <c r="I214" s="282"/>
      <c r="J214" s="282"/>
      <c r="K214" s="282"/>
      <c r="L214" s="282"/>
      <c r="M214" s="282"/>
      <c r="N214" s="282"/>
      <c r="O214" s="282"/>
      <c r="P214" s="282"/>
      <c r="Q214" s="282"/>
      <c r="R214" s="282"/>
    </row>
    <row r="215" spans="2:5" ht="12.75" customHeight="1" hidden="1" outlineLevel="1">
      <c r="B215" s="91" t="s">
        <v>147</v>
      </c>
      <c r="C215" s="90" t="s">
        <v>353</v>
      </c>
      <c r="D215" s="200" t="s">
        <v>163</v>
      </c>
      <c r="E215" s="89" t="s">
        <v>1357</v>
      </c>
    </row>
    <row r="216" spans="2:10" ht="12.75" customHeight="1" hidden="1" outlineLevel="1">
      <c r="B216" s="91" t="s">
        <v>151</v>
      </c>
      <c r="C216" s="90" t="s">
        <v>282</v>
      </c>
      <c r="D216" s="200" t="s">
        <v>163</v>
      </c>
      <c r="E216" s="89" t="s">
        <v>1316</v>
      </c>
      <c r="G216" s="96"/>
      <c r="H216" s="96"/>
      <c r="I216" s="96"/>
      <c r="J216" s="96"/>
    </row>
    <row r="217" spans="2:10" ht="12.75" hidden="1" outlineLevel="1">
      <c r="B217" s="91" t="s">
        <v>337</v>
      </c>
      <c r="C217" s="90" t="s">
        <v>553</v>
      </c>
      <c r="D217" s="200" t="s">
        <v>163</v>
      </c>
      <c r="E217" s="89" t="s">
        <v>1275</v>
      </c>
      <c r="G217" s="96"/>
      <c r="H217" s="96"/>
      <c r="I217" s="96"/>
      <c r="J217" s="96"/>
    </row>
    <row r="218" spans="2:10" ht="12.75" hidden="1" outlineLevel="1">
      <c r="B218" s="91" t="s">
        <v>156</v>
      </c>
      <c r="C218" s="90" t="s">
        <v>288</v>
      </c>
      <c r="D218" s="200" t="s">
        <v>163</v>
      </c>
      <c r="E218" s="89" t="s">
        <v>1276</v>
      </c>
      <c r="G218" s="96"/>
      <c r="H218" s="96"/>
      <c r="I218" s="96"/>
      <c r="J218" s="96"/>
    </row>
    <row r="219" spans="2:10" ht="12.75" customHeight="1" hidden="1" outlineLevel="1">
      <c r="B219" s="91" t="s">
        <v>154</v>
      </c>
      <c r="C219" s="90" t="s">
        <v>352</v>
      </c>
      <c r="D219" s="200" t="s">
        <v>164</v>
      </c>
      <c r="E219" s="89"/>
      <c r="G219" s="96"/>
      <c r="H219" s="96"/>
      <c r="I219" s="96"/>
      <c r="J219" s="96"/>
    </row>
    <row r="220" spans="2:5" ht="12.75" collapsed="1">
      <c r="B220" s="91"/>
      <c r="D220" s="89"/>
      <c r="E220" s="89"/>
    </row>
    <row r="221" spans="2:5" s="106" customFormat="1" ht="12.75">
      <c r="B221" s="106" t="str">
        <f>+CONCATENATE(D193," = ",COUNTIF(D190:D219,"Yes"),CONCATENATE("  (",TEXT(COUNTIF(D190:D219,"Yes")/ROWS(D190:D219),"#%"),")"))</f>
        <v>Yes = 29  (97%)</v>
      </c>
      <c r="D221" s="254"/>
      <c r="E221" s="254"/>
    </row>
    <row r="222" s="106" customFormat="1" ht="12.75">
      <c r="B222" s="106" t="str">
        <f>+CONCATENATE("No"," = ",COUNTIF($D$190:$D$219,"No"),CONCATENATE("  (",TEXT(COUNTIF($D$190:$D$219,"No")/ROWS($D$190:$D$219),"#%"),")"))</f>
        <v>No = 1  (3%)</v>
      </c>
    </row>
    <row r="223" s="106" customFormat="1" ht="12.75"/>
    <row r="224" s="106" customFormat="1" ht="12.75">
      <c r="C224" s="216" t="s">
        <v>1323</v>
      </c>
    </row>
    <row r="225" ht="12.75">
      <c r="C225" s="90" t="s">
        <v>1702</v>
      </c>
    </row>
    <row r="226" ht="12.75" hidden="1" outlineLevel="1"/>
    <row r="227" spans="3:11" ht="12.75" hidden="1" outlineLevel="1">
      <c r="C227" s="106">
        <v>2011</v>
      </c>
      <c r="D227" s="106">
        <v>2014</v>
      </c>
      <c r="E227" s="278" t="s">
        <v>1322</v>
      </c>
      <c r="F227" s="278"/>
      <c r="H227" s="96"/>
      <c r="I227" s="96" t="s">
        <v>1508</v>
      </c>
      <c r="J227" s="96">
        <v>20.11</v>
      </c>
      <c r="K227" s="96">
        <v>20.14</v>
      </c>
    </row>
    <row r="228" spans="3:11" ht="12.75" hidden="1" outlineLevel="1">
      <c r="C228" s="147" t="str">
        <f>CONCATENATE("Yes"," = ",I228,CONCATENATE("    (",TEXT(I228/($H$653+$H$652),"#%"),")"))</f>
        <v>Yes = 24    (89%)</v>
      </c>
      <c r="D228" s="147" t="str">
        <f>B221</f>
        <v>Yes = 29  (97%)</v>
      </c>
      <c r="E228" s="189">
        <f>K228-J228</f>
        <v>0.07777777777777783</v>
      </c>
      <c r="F228" s="147"/>
      <c r="H228" s="96" t="s">
        <v>163</v>
      </c>
      <c r="I228" s="96">
        <v>24</v>
      </c>
      <c r="J228" s="96">
        <f>(I228/(I228+I229))</f>
        <v>0.8888888888888888</v>
      </c>
      <c r="K228" s="96">
        <f>(COUNTIF(D190:D219,"Yes")/ROWS(D190:D219))</f>
        <v>0.9666666666666667</v>
      </c>
    </row>
    <row r="229" spans="3:11" ht="12.75" hidden="1" outlineLevel="1">
      <c r="C229" s="147" t="str">
        <f>CONCATENATE("No","   = ",I229,CONCATENATE("    (",TEXT(I229/($H$653+$H$652),"#%"),")"))</f>
        <v>No   = 3    (11%)</v>
      </c>
      <c r="D229" s="147" t="str">
        <f>B222</f>
        <v>No = 1  (3%)</v>
      </c>
      <c r="E229" s="189">
        <f>K229-J229</f>
        <v>-0.07777777777777778</v>
      </c>
      <c r="F229" s="147"/>
      <c r="H229" s="96" t="s">
        <v>164</v>
      </c>
      <c r="I229" s="96">
        <v>3</v>
      </c>
      <c r="J229" s="96">
        <f>(I229/(I228+I229))</f>
        <v>0.1111111111111111</v>
      </c>
      <c r="K229" s="96">
        <f>1-K228</f>
        <v>0.033333333333333326</v>
      </c>
    </row>
    <row r="230" ht="12.75" collapsed="1"/>
    <row r="231" spans="1:2" s="119" customFormat="1" ht="15">
      <c r="A231" s="117">
        <v>6</v>
      </c>
      <c r="B231" s="119" t="s">
        <v>306</v>
      </c>
    </row>
    <row r="232" spans="2:5" s="130" customFormat="1" ht="12.75" hidden="1" outlineLevel="1">
      <c r="B232" s="185" t="s">
        <v>324</v>
      </c>
      <c r="C232" s="185" t="s">
        <v>189</v>
      </c>
      <c r="D232" s="201" t="s">
        <v>1277</v>
      </c>
      <c r="E232" s="130" t="s">
        <v>1278</v>
      </c>
    </row>
    <row r="233" spans="2:5" ht="12.75" hidden="1" outlineLevel="1">
      <c r="B233" s="91" t="s">
        <v>332</v>
      </c>
      <c r="C233" s="90" t="s">
        <v>554</v>
      </c>
      <c r="D233" s="200" t="s">
        <v>163</v>
      </c>
      <c r="E233" s="89" t="s">
        <v>1279</v>
      </c>
    </row>
    <row r="234" spans="2:5" ht="12.75" hidden="1" outlineLevel="1">
      <c r="B234" s="91" t="s">
        <v>332</v>
      </c>
      <c r="C234" s="90" t="s">
        <v>436</v>
      </c>
      <c r="D234" s="200" t="s">
        <v>163</v>
      </c>
      <c r="E234" s="89" t="s">
        <v>1324</v>
      </c>
    </row>
    <row r="235" spans="2:5" ht="12.75" hidden="1" outlineLevel="1">
      <c r="B235" s="91" t="s">
        <v>141</v>
      </c>
      <c r="C235" s="90" t="s">
        <v>445</v>
      </c>
      <c r="D235" s="200" t="s">
        <v>163</v>
      </c>
      <c r="E235" s="89" t="s">
        <v>1325</v>
      </c>
    </row>
    <row r="236" spans="2:5" ht="12.75" hidden="1" outlineLevel="1">
      <c r="B236" s="91" t="s">
        <v>146</v>
      </c>
      <c r="C236" s="90" t="s">
        <v>349</v>
      </c>
      <c r="D236" s="200" t="s">
        <v>163</v>
      </c>
      <c r="E236" s="89" t="s">
        <v>1663</v>
      </c>
    </row>
    <row r="237" spans="2:5" ht="12.75" hidden="1" outlineLevel="1">
      <c r="B237" s="91" t="s">
        <v>142</v>
      </c>
      <c r="C237" s="90" t="s">
        <v>343</v>
      </c>
      <c r="D237" s="200" t="s">
        <v>163</v>
      </c>
      <c r="E237" s="89" t="s">
        <v>1326</v>
      </c>
    </row>
    <row r="238" spans="2:5" ht="12.75" hidden="1" outlineLevel="1">
      <c r="B238" s="91" t="s">
        <v>143</v>
      </c>
      <c r="C238" s="90" t="s">
        <v>437</v>
      </c>
      <c r="D238" s="200" t="s">
        <v>163</v>
      </c>
      <c r="E238" s="89" t="s">
        <v>1654</v>
      </c>
    </row>
    <row r="239" spans="2:5" ht="12.75" hidden="1" outlineLevel="1">
      <c r="B239" s="91" t="s">
        <v>143</v>
      </c>
      <c r="C239" s="90" t="s">
        <v>287</v>
      </c>
      <c r="D239" s="200" t="s">
        <v>163</v>
      </c>
      <c r="E239" s="89" t="s">
        <v>1294</v>
      </c>
    </row>
    <row r="240" spans="2:5" ht="12.75" hidden="1" outlineLevel="1">
      <c r="B240" s="91" t="s">
        <v>144</v>
      </c>
      <c r="C240" s="90" t="s">
        <v>438</v>
      </c>
      <c r="D240" s="200" t="s">
        <v>163</v>
      </c>
      <c r="E240" s="89" t="s">
        <v>1327</v>
      </c>
    </row>
    <row r="241" spans="2:10" ht="12.75" hidden="1" outlineLevel="1">
      <c r="B241" s="91" t="s">
        <v>153</v>
      </c>
      <c r="C241" s="90" t="s">
        <v>444</v>
      </c>
      <c r="D241" s="200" t="s">
        <v>163</v>
      </c>
      <c r="E241" s="89" t="s">
        <v>1328</v>
      </c>
      <c r="G241" s="96"/>
      <c r="H241" s="96"/>
      <c r="I241" s="96"/>
      <c r="J241" s="96"/>
    </row>
    <row r="242" spans="2:10" ht="12.75" hidden="1" outlineLevel="1">
      <c r="B242" s="91" t="s">
        <v>153</v>
      </c>
      <c r="C242" s="90" t="s">
        <v>446</v>
      </c>
      <c r="D242" s="200" t="s">
        <v>163</v>
      </c>
      <c r="E242" s="89" t="s">
        <v>1329</v>
      </c>
      <c r="G242" s="96"/>
      <c r="H242" s="96"/>
      <c r="I242" s="96"/>
      <c r="J242" s="96"/>
    </row>
    <row r="243" spans="2:10" ht="12.75" hidden="1" outlineLevel="1">
      <c r="B243" s="91" t="s">
        <v>148</v>
      </c>
      <c r="C243" s="90" t="s">
        <v>552</v>
      </c>
      <c r="D243" s="200" t="s">
        <v>163</v>
      </c>
      <c r="E243" s="89" t="s">
        <v>1330</v>
      </c>
      <c r="G243" s="96"/>
      <c r="H243" s="96"/>
      <c r="I243" s="96"/>
      <c r="J243" s="96"/>
    </row>
    <row r="244" spans="2:10" ht="12.75" hidden="1" outlineLevel="1">
      <c r="B244" s="91" t="s">
        <v>154</v>
      </c>
      <c r="C244" s="90" t="s">
        <v>352</v>
      </c>
      <c r="D244" s="200" t="s">
        <v>163</v>
      </c>
      <c r="E244" s="89" t="s">
        <v>589</v>
      </c>
      <c r="G244" s="96"/>
      <c r="H244" s="96"/>
      <c r="I244" s="96"/>
      <c r="J244" s="96"/>
    </row>
    <row r="245" spans="2:5" ht="12.75" hidden="1" outlineLevel="1">
      <c r="B245" s="91" t="s">
        <v>154</v>
      </c>
      <c r="C245" s="90" t="s">
        <v>342</v>
      </c>
      <c r="D245" s="200" t="s">
        <v>163</v>
      </c>
      <c r="E245" s="89" t="s">
        <v>1331</v>
      </c>
    </row>
    <row r="246" spans="2:5" ht="12.75" hidden="1" outlineLevel="1">
      <c r="B246" s="91" t="s">
        <v>336</v>
      </c>
      <c r="C246" s="90" t="s">
        <v>281</v>
      </c>
      <c r="D246" s="200" t="s">
        <v>163</v>
      </c>
      <c r="E246" s="89" t="s">
        <v>1332</v>
      </c>
    </row>
    <row r="247" spans="2:5" ht="12.75" hidden="1" outlineLevel="1">
      <c r="B247" s="91" t="s">
        <v>334</v>
      </c>
      <c r="C247" s="90" t="s">
        <v>350</v>
      </c>
      <c r="D247" s="200" t="s">
        <v>163</v>
      </c>
      <c r="E247" s="89" t="s">
        <v>1333</v>
      </c>
    </row>
    <row r="248" spans="2:5" ht="12.75" hidden="1" outlineLevel="1">
      <c r="B248" s="91" t="s">
        <v>145</v>
      </c>
      <c r="C248" s="90" t="s">
        <v>439</v>
      </c>
      <c r="D248" s="200" t="s">
        <v>163</v>
      </c>
      <c r="E248" s="89" t="s">
        <v>1359</v>
      </c>
    </row>
    <row r="249" spans="2:5" ht="12.75" hidden="1" outlineLevel="1">
      <c r="B249" s="91" t="s">
        <v>335</v>
      </c>
      <c r="C249" s="90" t="s">
        <v>283</v>
      </c>
      <c r="D249" s="200" t="s">
        <v>163</v>
      </c>
      <c r="E249" s="89" t="s">
        <v>1360</v>
      </c>
    </row>
    <row r="250" spans="2:5" ht="12.75" hidden="1" outlineLevel="1">
      <c r="B250" s="91" t="s">
        <v>152</v>
      </c>
      <c r="C250" s="90" t="s">
        <v>408</v>
      </c>
      <c r="D250" s="200" t="s">
        <v>163</v>
      </c>
      <c r="E250" s="89" t="s">
        <v>655</v>
      </c>
    </row>
    <row r="251" spans="2:5" ht="12.75" hidden="1" outlineLevel="1">
      <c r="B251" s="91" t="s">
        <v>149</v>
      </c>
      <c r="C251" s="90" t="s">
        <v>277</v>
      </c>
      <c r="D251" s="200" t="s">
        <v>163</v>
      </c>
      <c r="E251" s="89" t="s">
        <v>316</v>
      </c>
    </row>
    <row r="252" spans="2:5" ht="12.75" hidden="1" outlineLevel="1">
      <c r="B252" s="91" t="s">
        <v>155</v>
      </c>
      <c r="C252" s="90" t="s">
        <v>351</v>
      </c>
      <c r="D252" s="200" t="s">
        <v>163</v>
      </c>
      <c r="E252" s="89" t="s">
        <v>1361</v>
      </c>
    </row>
    <row r="253" spans="2:5" ht="12.75" hidden="1" outlineLevel="1">
      <c r="B253" s="91" t="s">
        <v>155</v>
      </c>
      <c r="C253" s="90" t="s">
        <v>279</v>
      </c>
      <c r="D253" s="200" t="s">
        <v>163</v>
      </c>
      <c r="E253" s="89" t="s">
        <v>1362</v>
      </c>
    </row>
    <row r="254" spans="2:5" ht="12.75" hidden="1" outlineLevel="1">
      <c r="B254" s="91" t="s">
        <v>147</v>
      </c>
      <c r="C254" s="90" t="s">
        <v>353</v>
      </c>
      <c r="D254" s="200" t="s">
        <v>163</v>
      </c>
      <c r="E254" s="89" t="s">
        <v>1363</v>
      </c>
    </row>
    <row r="255" spans="2:5" ht="12.75" hidden="1" outlineLevel="1">
      <c r="B255" s="91" t="s">
        <v>151</v>
      </c>
      <c r="C255" s="90" t="s">
        <v>282</v>
      </c>
      <c r="D255" s="200" t="s">
        <v>163</v>
      </c>
      <c r="E255" s="89" t="s">
        <v>1364</v>
      </c>
    </row>
    <row r="256" spans="2:5" ht="12.75" hidden="1" outlineLevel="1">
      <c r="B256" s="91" t="s">
        <v>337</v>
      </c>
      <c r="C256" s="90" t="s">
        <v>553</v>
      </c>
      <c r="D256" s="200" t="s">
        <v>163</v>
      </c>
      <c r="E256" s="89" t="s">
        <v>1365</v>
      </c>
    </row>
    <row r="257" spans="2:11" ht="12.75" hidden="1" outlineLevel="1">
      <c r="B257" s="91" t="s">
        <v>156</v>
      </c>
      <c r="C257" s="90" t="s">
        <v>288</v>
      </c>
      <c r="D257" s="200" t="s">
        <v>163</v>
      </c>
      <c r="E257" s="89" t="s">
        <v>1296</v>
      </c>
      <c r="H257" s="96"/>
      <c r="I257" s="96"/>
      <c r="J257" s="96"/>
      <c r="K257" s="96"/>
    </row>
    <row r="258" spans="2:11" ht="12.75" hidden="1" outlineLevel="1">
      <c r="B258" s="91" t="s">
        <v>140</v>
      </c>
      <c r="C258" s="90" t="s">
        <v>341</v>
      </c>
      <c r="D258" s="200" t="s">
        <v>164</v>
      </c>
      <c r="H258" s="96"/>
      <c r="I258" s="96"/>
      <c r="J258" s="96"/>
      <c r="K258" s="96"/>
    </row>
    <row r="259" spans="2:11" ht="12.75" hidden="1" outlineLevel="1">
      <c r="B259" s="91" t="s">
        <v>332</v>
      </c>
      <c r="C259" s="90" t="s">
        <v>286</v>
      </c>
      <c r="D259" s="200" t="s">
        <v>164</v>
      </c>
      <c r="E259" s="89"/>
      <c r="H259" s="96"/>
      <c r="I259" s="96"/>
      <c r="J259" s="96"/>
      <c r="K259" s="96"/>
    </row>
    <row r="260" spans="2:11" ht="12.75" hidden="1" outlineLevel="1">
      <c r="B260" s="91" t="s">
        <v>146</v>
      </c>
      <c r="C260" s="90" t="s">
        <v>550</v>
      </c>
      <c r="D260" s="200" t="s">
        <v>163</v>
      </c>
      <c r="E260" s="89" t="s">
        <v>1681</v>
      </c>
      <c r="H260" s="96"/>
      <c r="I260" s="96"/>
      <c r="J260" s="96"/>
      <c r="K260" s="96"/>
    </row>
    <row r="261" spans="2:5" ht="12.75" hidden="1" outlineLevel="1">
      <c r="B261" s="91" t="s">
        <v>139</v>
      </c>
      <c r="C261" s="90" t="s">
        <v>551</v>
      </c>
      <c r="D261" s="200" t="s">
        <v>164</v>
      </c>
      <c r="E261" s="89"/>
    </row>
    <row r="262" spans="2:5" ht="12.75" hidden="1" outlineLevel="1">
      <c r="B262" s="91" t="s">
        <v>150</v>
      </c>
      <c r="C262" s="90" t="s">
        <v>278</v>
      </c>
      <c r="D262" s="200" t="s">
        <v>164</v>
      </c>
      <c r="E262" s="89"/>
    </row>
    <row r="263" ht="12.75" collapsed="1"/>
    <row r="264" spans="2:4" s="106" customFormat="1" ht="12.75">
      <c r="B264" s="106" t="str">
        <f>+CONCATENATE("Yes"," = ",COUNTIF(D233:D262,"Yes"),CONCATENATE("  (",TEXT(COUNTIF(D233:D262,"Yes")/ROWS(D233:D262),"#%"),")"))</f>
        <v>Yes = 26  (87%)</v>
      </c>
      <c r="D264" s="106" t="s">
        <v>199</v>
      </c>
    </row>
    <row r="265" s="106" customFormat="1" ht="12.75">
      <c r="B265" s="106" t="str">
        <f>+CONCATENATE("No"," = ",COUNTIF(D233:D262,"No"),CONCATENATE("  (",TEXT(COUNTIF(D233:D262,"No")/ROWS(D233:D262),"#%"),")"))</f>
        <v>No = 4  (13%)</v>
      </c>
    </row>
    <row r="266" s="106" customFormat="1" ht="12.75"/>
    <row r="267" s="106" customFormat="1" ht="12.75">
      <c r="C267" s="216" t="s">
        <v>1323</v>
      </c>
    </row>
    <row r="268" ht="12.75">
      <c r="C268" s="90" t="s">
        <v>1703</v>
      </c>
    </row>
    <row r="269" spans="7:11" ht="12.75" hidden="1" outlineLevel="1">
      <c r="G269" s="96"/>
      <c r="H269" s="96"/>
      <c r="I269" s="96"/>
      <c r="J269" s="96"/>
      <c r="K269" s="96"/>
    </row>
    <row r="270" spans="3:11" ht="12.75" hidden="1" outlineLevel="1">
      <c r="C270" s="106">
        <v>2011</v>
      </c>
      <c r="D270" s="106">
        <v>2014</v>
      </c>
      <c r="E270" s="278" t="s">
        <v>1322</v>
      </c>
      <c r="F270" s="278"/>
      <c r="G270" s="96"/>
      <c r="H270" s="96"/>
      <c r="I270" s="96" t="s">
        <v>1508</v>
      </c>
      <c r="J270" s="96">
        <v>20.11</v>
      </c>
      <c r="K270" s="96">
        <v>20.14</v>
      </c>
    </row>
    <row r="271" spans="3:11" ht="12.75" hidden="1" outlineLevel="1">
      <c r="C271" s="147" t="str">
        <f>CONCATENATE("Yes"," = ",I271,CONCATENATE("    (",TEXT(I271/($H$653+$H$652),"#%"),")"))</f>
        <v>Yes = 17    (63%)</v>
      </c>
      <c r="D271" s="147" t="str">
        <f>B264</f>
        <v>Yes = 26  (87%)</v>
      </c>
      <c r="E271" s="189">
        <f>K271-J271</f>
        <v>0.21282051282051284</v>
      </c>
      <c r="F271" s="147"/>
      <c r="G271" s="96"/>
      <c r="H271" s="96" t="s">
        <v>163</v>
      </c>
      <c r="I271" s="96">
        <v>17</v>
      </c>
      <c r="J271" s="96">
        <f>(I271/(I271+I272))</f>
        <v>0.6538461538461539</v>
      </c>
      <c r="K271" s="96">
        <f>(COUNTIF(D233:D262,"Yes")/ROWS(D233:D262))</f>
        <v>0.8666666666666667</v>
      </c>
    </row>
    <row r="272" spans="3:11" ht="12.75" hidden="1" outlineLevel="1">
      <c r="C272" s="147" t="str">
        <f>CONCATENATE("No","   = ",I272,CONCATENATE("    (",TEXT(I272/($H$653+$H$652),"#%"),")"))</f>
        <v>No   = 9    (33%)</v>
      </c>
      <c r="D272" s="147" t="str">
        <f>B265</f>
        <v>No = 4  (13%)</v>
      </c>
      <c r="E272" s="189">
        <f>K272-J272</f>
        <v>-0.21282051282051284</v>
      </c>
      <c r="F272" s="147"/>
      <c r="G272" s="96"/>
      <c r="H272" s="96" t="s">
        <v>164</v>
      </c>
      <c r="I272" s="96">
        <v>9</v>
      </c>
      <c r="J272" s="96">
        <f>(I272/(I271+I272))</f>
        <v>0.34615384615384615</v>
      </c>
      <c r="K272" s="96">
        <f>1-K271</f>
        <v>0.1333333333333333</v>
      </c>
    </row>
    <row r="273" ht="12.75" collapsed="1"/>
    <row r="274" spans="1:2" s="119" customFormat="1" ht="15">
      <c r="A274" s="117">
        <v>7</v>
      </c>
      <c r="B274" s="255" t="s">
        <v>102</v>
      </c>
    </row>
    <row r="275" spans="2:4" s="130" customFormat="1" ht="12.75" hidden="1" outlineLevel="1">
      <c r="B275" s="185" t="s">
        <v>324</v>
      </c>
      <c r="C275" s="185" t="s">
        <v>189</v>
      </c>
      <c r="D275" s="201" t="s">
        <v>1297</v>
      </c>
    </row>
    <row r="276" spans="2:4" ht="12.75" hidden="1" outlineLevel="1">
      <c r="B276" s="91" t="s">
        <v>140</v>
      </c>
      <c r="C276" s="90" t="s">
        <v>341</v>
      </c>
      <c r="D276" s="147" t="s">
        <v>163</v>
      </c>
    </row>
    <row r="277" spans="2:4" ht="12.75" hidden="1" outlineLevel="1">
      <c r="B277" s="91" t="s">
        <v>332</v>
      </c>
      <c r="C277" s="90" t="s">
        <v>554</v>
      </c>
      <c r="D277" s="147" t="s">
        <v>163</v>
      </c>
    </row>
    <row r="278" spans="2:4" ht="12.75" hidden="1" outlineLevel="1">
      <c r="B278" s="91" t="s">
        <v>141</v>
      </c>
      <c r="C278" s="90" t="s">
        <v>445</v>
      </c>
      <c r="D278" s="147" t="s">
        <v>163</v>
      </c>
    </row>
    <row r="279" spans="2:4" ht="12.75" hidden="1" outlineLevel="1">
      <c r="B279" s="91" t="s">
        <v>143</v>
      </c>
      <c r="C279" s="90" t="s">
        <v>287</v>
      </c>
      <c r="D279" s="200" t="s">
        <v>163</v>
      </c>
    </row>
    <row r="280" spans="2:4" ht="12.75" hidden="1" outlineLevel="1">
      <c r="B280" s="91" t="s">
        <v>144</v>
      </c>
      <c r="C280" s="90" t="s">
        <v>438</v>
      </c>
      <c r="D280" s="200" t="s">
        <v>163</v>
      </c>
    </row>
    <row r="281" spans="2:4" ht="12.75" hidden="1" outlineLevel="1">
      <c r="B281" s="91" t="s">
        <v>153</v>
      </c>
      <c r="C281" s="90" t="s">
        <v>444</v>
      </c>
      <c r="D281" s="200" t="s">
        <v>163</v>
      </c>
    </row>
    <row r="282" spans="2:4" ht="12.75" hidden="1" outlineLevel="1">
      <c r="B282" s="91" t="s">
        <v>153</v>
      </c>
      <c r="C282" s="90" t="s">
        <v>446</v>
      </c>
      <c r="D282" s="147" t="s">
        <v>163</v>
      </c>
    </row>
    <row r="283" spans="2:4" ht="12.75" hidden="1" outlineLevel="1">
      <c r="B283" s="91" t="s">
        <v>139</v>
      </c>
      <c r="C283" s="90" t="s">
        <v>551</v>
      </c>
      <c r="D283" s="200" t="s">
        <v>163</v>
      </c>
    </row>
    <row r="284" spans="2:4" ht="12.75" hidden="1" outlineLevel="1">
      <c r="B284" s="91" t="s">
        <v>154</v>
      </c>
      <c r="C284" s="90" t="s">
        <v>352</v>
      </c>
      <c r="D284" s="200" t="s">
        <v>163</v>
      </c>
    </row>
    <row r="285" spans="2:11" ht="12.75" hidden="1" outlineLevel="1">
      <c r="B285" s="91" t="s">
        <v>154</v>
      </c>
      <c r="C285" s="90" t="s">
        <v>342</v>
      </c>
      <c r="D285" s="147" t="s">
        <v>163</v>
      </c>
      <c r="H285" s="96"/>
      <c r="I285" s="96"/>
      <c r="J285" s="96"/>
      <c r="K285" s="96"/>
    </row>
    <row r="286" spans="2:11" ht="12.75" hidden="1" outlineLevel="1">
      <c r="B286" s="91" t="s">
        <v>145</v>
      </c>
      <c r="C286" s="90" t="s">
        <v>439</v>
      </c>
      <c r="D286" s="147" t="s">
        <v>163</v>
      </c>
      <c r="H286" s="96"/>
      <c r="I286" s="96"/>
      <c r="J286" s="96"/>
      <c r="K286" s="96"/>
    </row>
    <row r="287" spans="2:11" ht="12.75" hidden="1" outlineLevel="1">
      <c r="B287" s="91" t="s">
        <v>335</v>
      </c>
      <c r="C287" s="90" t="s">
        <v>283</v>
      </c>
      <c r="D287" s="147" t="s">
        <v>163</v>
      </c>
      <c r="H287" s="96"/>
      <c r="I287" s="96"/>
      <c r="J287" s="96"/>
      <c r="K287" s="96"/>
    </row>
    <row r="288" spans="2:11" ht="12.75" hidden="1" outlineLevel="1">
      <c r="B288" s="91" t="s">
        <v>152</v>
      </c>
      <c r="C288" s="90" t="s">
        <v>408</v>
      </c>
      <c r="D288" s="200" t="s">
        <v>163</v>
      </c>
      <c r="H288" s="96"/>
      <c r="I288" s="96"/>
      <c r="J288" s="96"/>
      <c r="K288" s="96"/>
    </row>
    <row r="289" spans="2:4" ht="12.75" hidden="1" outlineLevel="1">
      <c r="B289" s="91" t="s">
        <v>149</v>
      </c>
      <c r="C289" s="90" t="s">
        <v>277</v>
      </c>
      <c r="D289" s="147" t="s">
        <v>163</v>
      </c>
    </row>
    <row r="290" spans="2:4" ht="12.75" hidden="1" outlineLevel="1">
      <c r="B290" s="91" t="s">
        <v>150</v>
      </c>
      <c r="C290" s="90" t="s">
        <v>278</v>
      </c>
      <c r="D290" s="147" t="s">
        <v>163</v>
      </c>
    </row>
    <row r="291" spans="2:4" ht="12.75" hidden="1" outlineLevel="1">
      <c r="B291" s="91" t="s">
        <v>155</v>
      </c>
      <c r="C291" s="90" t="s">
        <v>351</v>
      </c>
      <c r="D291" s="147" t="s">
        <v>163</v>
      </c>
    </row>
    <row r="292" spans="2:4" ht="12.75" hidden="1" outlineLevel="1">
      <c r="B292" s="91" t="s">
        <v>155</v>
      </c>
      <c r="C292" s="90" t="s">
        <v>279</v>
      </c>
      <c r="D292" s="200" t="s">
        <v>163</v>
      </c>
    </row>
    <row r="293" spans="2:4" ht="12.75" hidden="1" outlineLevel="1">
      <c r="B293" s="91" t="s">
        <v>147</v>
      </c>
      <c r="C293" s="90" t="s">
        <v>353</v>
      </c>
      <c r="D293" s="147" t="s">
        <v>163</v>
      </c>
    </row>
    <row r="294" spans="2:4" ht="12.75" hidden="1" outlineLevel="1">
      <c r="B294" s="91" t="s">
        <v>156</v>
      </c>
      <c r="C294" s="90" t="s">
        <v>288</v>
      </c>
      <c r="D294" s="200" t="s">
        <v>163</v>
      </c>
    </row>
    <row r="295" spans="2:4" ht="12.75" hidden="1" outlineLevel="1">
      <c r="B295" s="91" t="s">
        <v>332</v>
      </c>
      <c r="C295" s="90" t="s">
        <v>436</v>
      </c>
      <c r="D295" s="200" t="s">
        <v>164</v>
      </c>
    </row>
    <row r="296" spans="2:4" ht="12.75" hidden="1" outlineLevel="1">
      <c r="B296" s="91" t="s">
        <v>332</v>
      </c>
      <c r="C296" s="90" t="s">
        <v>286</v>
      </c>
      <c r="D296" s="200" t="s">
        <v>164</v>
      </c>
    </row>
    <row r="297" spans="2:4" ht="12.75" hidden="1" outlineLevel="1">
      <c r="B297" s="91" t="s">
        <v>146</v>
      </c>
      <c r="C297" s="90" t="s">
        <v>349</v>
      </c>
      <c r="D297" s="200" t="s">
        <v>164</v>
      </c>
    </row>
    <row r="298" spans="2:4" ht="12.75" hidden="1" outlineLevel="1">
      <c r="B298" s="91" t="s">
        <v>146</v>
      </c>
      <c r="C298" s="90" t="s">
        <v>550</v>
      </c>
      <c r="D298" s="200" t="s">
        <v>164</v>
      </c>
    </row>
    <row r="299" spans="2:4" ht="12.75" hidden="1" outlineLevel="1">
      <c r="B299" s="91" t="s">
        <v>142</v>
      </c>
      <c r="C299" s="90" t="s">
        <v>343</v>
      </c>
      <c r="D299" s="200" t="s">
        <v>164</v>
      </c>
    </row>
    <row r="300" spans="2:4" ht="12.75" hidden="1" outlineLevel="1">
      <c r="B300" s="91" t="s">
        <v>143</v>
      </c>
      <c r="C300" s="90" t="s">
        <v>437</v>
      </c>
      <c r="D300" s="200" t="s">
        <v>164</v>
      </c>
    </row>
    <row r="301" spans="2:4" ht="12.75" hidden="1" outlineLevel="1">
      <c r="B301" s="91" t="s">
        <v>148</v>
      </c>
      <c r="C301" s="90" t="s">
        <v>552</v>
      </c>
      <c r="D301" s="200" t="s">
        <v>164</v>
      </c>
    </row>
    <row r="302" spans="2:4" ht="12.75" hidden="1" outlineLevel="1">
      <c r="B302" s="91" t="s">
        <v>336</v>
      </c>
      <c r="C302" s="90" t="s">
        <v>281</v>
      </c>
      <c r="D302" s="200" t="s">
        <v>164</v>
      </c>
    </row>
    <row r="303" spans="2:4" ht="12.75" hidden="1" outlineLevel="1">
      <c r="B303" s="91" t="s">
        <v>334</v>
      </c>
      <c r="C303" s="90" t="s">
        <v>350</v>
      </c>
      <c r="D303" s="200" t="s">
        <v>164</v>
      </c>
    </row>
    <row r="304" spans="2:4" ht="12.75" hidden="1" outlineLevel="1">
      <c r="B304" s="91" t="s">
        <v>151</v>
      </c>
      <c r="C304" s="90" t="s">
        <v>282</v>
      </c>
      <c r="D304" s="200" t="s">
        <v>164</v>
      </c>
    </row>
    <row r="305" spans="2:4" ht="12.75" hidden="1" outlineLevel="1">
      <c r="B305" s="91" t="s">
        <v>337</v>
      </c>
      <c r="C305" s="90" t="s">
        <v>553</v>
      </c>
      <c r="D305" s="200" t="s">
        <v>164</v>
      </c>
    </row>
    <row r="306" spans="2:4" ht="12.75" collapsed="1">
      <c r="B306" s="91"/>
      <c r="D306" s="89"/>
    </row>
    <row r="307" s="107" customFormat="1" ht="12.75">
      <c r="B307" s="107" t="str">
        <f>+CONCATENATE("Yes"," = ",COUNTIF(D276:D305,"Yes"),CONCATENATE("  (",TEXT(COUNTIF(D276:D305,"Yes")/ROWS(D276:D305),"#%"),")"))</f>
        <v>Yes = 19  (63%)</v>
      </c>
    </row>
    <row r="308" s="107" customFormat="1" ht="12.75">
      <c r="B308" s="107" t="str">
        <f>+CONCATENATE("No"," = ",COUNTIF(D276:D305,"No"),CONCATENATE("  (",TEXT(COUNTIF(D276:D305,"No")/ROWS(D276:D305),"#%"),")"))</f>
        <v>No = 11  (37%)</v>
      </c>
    </row>
    <row r="309" s="107" customFormat="1" ht="12.75"/>
    <row r="310" s="107" customFormat="1" ht="12.75">
      <c r="C310" s="139" t="s">
        <v>1323</v>
      </c>
    </row>
    <row r="311" ht="12.75">
      <c r="C311" s="90" t="s">
        <v>1704</v>
      </c>
    </row>
    <row r="312" ht="12.75" hidden="1" outlineLevel="1"/>
    <row r="313" spans="3:12" ht="12.75" hidden="1" outlineLevel="1">
      <c r="C313" s="106">
        <v>2011</v>
      </c>
      <c r="D313" s="106">
        <v>2014</v>
      </c>
      <c r="E313" s="278" t="s">
        <v>1322</v>
      </c>
      <c r="F313" s="278"/>
      <c r="H313" s="96"/>
      <c r="I313" s="96" t="s">
        <v>1508</v>
      </c>
      <c r="J313" s="96">
        <v>20.11</v>
      </c>
      <c r="K313" s="96">
        <v>20.14</v>
      </c>
      <c r="L313" s="96"/>
    </row>
    <row r="314" spans="3:12" ht="12.75" hidden="1" outlineLevel="1">
      <c r="C314" s="147" t="str">
        <f>CONCATENATE("Yes"," = ",I314,CONCATENATE("    (",TEXT(I314/($H$653+$H$652),"#%"),")"))</f>
        <v>Yes = 17    (63%)</v>
      </c>
      <c r="D314" s="147" t="str">
        <f>B307</f>
        <v>Yes = 19  (63%)</v>
      </c>
      <c r="E314" s="256">
        <f>K314-J314</f>
        <v>0.0037037037037036535</v>
      </c>
      <c r="F314" s="147"/>
      <c r="H314" s="96" t="s">
        <v>163</v>
      </c>
      <c r="I314" s="96">
        <v>17</v>
      </c>
      <c r="J314" s="96">
        <f>(I314/(I314+I315))</f>
        <v>0.6296296296296297</v>
      </c>
      <c r="K314" s="96">
        <f>(COUNTIF(D276:D305,"Yes")/ROWS(D276:D305))</f>
        <v>0.6333333333333333</v>
      </c>
      <c r="L314" s="96"/>
    </row>
    <row r="315" spans="3:12" ht="12.75" hidden="1" outlineLevel="1">
      <c r="C315" s="147" t="str">
        <f>CONCATENATE("No","   = ",I315,CONCATENATE("    (",TEXT(I315/($H$653+$H$652),"#%"),")"))</f>
        <v>No   = 10    (37%)</v>
      </c>
      <c r="D315" s="147" t="str">
        <f>B308</f>
        <v>No = 11  (37%)</v>
      </c>
      <c r="E315" s="256">
        <f>K315-J315</f>
        <v>-0.0037037037037036535</v>
      </c>
      <c r="F315" s="147"/>
      <c r="H315" s="96" t="s">
        <v>164</v>
      </c>
      <c r="I315" s="96">
        <v>10</v>
      </c>
      <c r="J315" s="96">
        <f>(I315/(I314+I315))</f>
        <v>0.37037037037037035</v>
      </c>
      <c r="K315" s="96">
        <f>1-K314</f>
        <v>0.3666666666666667</v>
      </c>
      <c r="L315" s="96"/>
    </row>
    <row r="316" ht="12.75" collapsed="1"/>
    <row r="317" spans="1:2" s="119" customFormat="1" ht="15">
      <c r="A317" s="117">
        <v>8</v>
      </c>
      <c r="B317" s="119" t="s">
        <v>493</v>
      </c>
    </row>
    <row r="318" spans="2:5" s="130" customFormat="1" ht="12.75" hidden="1" outlineLevel="1">
      <c r="B318" s="185" t="s">
        <v>324</v>
      </c>
      <c r="C318" s="185" t="s">
        <v>189</v>
      </c>
      <c r="D318" s="201" t="s">
        <v>1298</v>
      </c>
      <c r="E318" s="130" t="s">
        <v>1299</v>
      </c>
    </row>
    <row r="319" spans="2:5" ht="12.75" hidden="1" outlineLevel="1">
      <c r="B319" s="91" t="s">
        <v>140</v>
      </c>
      <c r="C319" s="90" t="s">
        <v>341</v>
      </c>
      <c r="D319" s="147" t="s">
        <v>163</v>
      </c>
      <c r="E319" s="90" t="s">
        <v>566</v>
      </c>
    </row>
    <row r="320" spans="2:5" ht="12.75" hidden="1" outlineLevel="1">
      <c r="B320" s="91" t="s">
        <v>332</v>
      </c>
      <c r="C320" s="90" t="s">
        <v>554</v>
      </c>
      <c r="D320" s="147" t="s">
        <v>163</v>
      </c>
      <c r="E320" s="89" t="s">
        <v>1300</v>
      </c>
    </row>
    <row r="321" spans="2:5" ht="12.75" hidden="1" outlineLevel="1">
      <c r="B321" s="91" t="s">
        <v>332</v>
      </c>
      <c r="C321" s="90" t="s">
        <v>436</v>
      </c>
      <c r="D321" s="147" t="s">
        <v>163</v>
      </c>
      <c r="E321" s="89" t="s">
        <v>1301</v>
      </c>
    </row>
    <row r="322" spans="2:5" ht="12.75" hidden="1" outlineLevel="1">
      <c r="B322" s="91" t="s">
        <v>332</v>
      </c>
      <c r="C322" s="90" t="s">
        <v>286</v>
      </c>
      <c r="D322" s="200" t="s">
        <v>163</v>
      </c>
      <c r="E322" s="89" t="s">
        <v>1302</v>
      </c>
    </row>
    <row r="323" spans="2:18" ht="25.5" customHeight="1" hidden="1" outlineLevel="1">
      <c r="B323" s="240" t="s">
        <v>146</v>
      </c>
      <c r="C323" s="238" t="s">
        <v>349</v>
      </c>
      <c r="D323" s="242" t="s">
        <v>163</v>
      </c>
      <c r="E323" s="281" t="s">
        <v>1668</v>
      </c>
      <c r="F323" s="281"/>
      <c r="G323" s="281"/>
      <c r="H323" s="281"/>
      <c r="I323" s="281"/>
      <c r="J323" s="281"/>
      <c r="K323" s="281"/>
      <c r="L323" s="281"/>
      <c r="M323" s="281"/>
      <c r="N323" s="281"/>
      <c r="O323" s="281"/>
      <c r="P323" s="281"/>
      <c r="Q323" s="281"/>
      <c r="R323" s="281"/>
    </row>
    <row r="324" spans="2:5" ht="12.75" hidden="1" outlineLevel="1">
      <c r="B324" s="91" t="s">
        <v>142</v>
      </c>
      <c r="C324" s="90" t="s">
        <v>343</v>
      </c>
      <c r="D324" s="200" t="s">
        <v>163</v>
      </c>
      <c r="E324" s="89" t="s">
        <v>1343</v>
      </c>
    </row>
    <row r="325" spans="2:5" ht="12.75" hidden="1" outlineLevel="1">
      <c r="B325" s="91" t="s">
        <v>143</v>
      </c>
      <c r="C325" s="90" t="s">
        <v>437</v>
      </c>
      <c r="D325" s="200" t="s">
        <v>163</v>
      </c>
      <c r="E325" s="89" t="s">
        <v>1655</v>
      </c>
    </row>
    <row r="326" spans="2:5" ht="12.75" hidden="1" outlineLevel="1">
      <c r="B326" s="91" t="s">
        <v>153</v>
      </c>
      <c r="C326" s="90" t="s">
        <v>444</v>
      </c>
      <c r="D326" s="200" t="s">
        <v>163</v>
      </c>
      <c r="E326" s="89" t="s">
        <v>1344</v>
      </c>
    </row>
    <row r="327" spans="2:18" ht="25.5" customHeight="1" hidden="1" outlineLevel="1">
      <c r="B327" s="240" t="s">
        <v>153</v>
      </c>
      <c r="C327" s="238" t="s">
        <v>446</v>
      </c>
      <c r="D327" s="242" t="s">
        <v>163</v>
      </c>
      <c r="E327" s="281" t="s">
        <v>1345</v>
      </c>
      <c r="F327" s="281"/>
      <c r="G327" s="281"/>
      <c r="H327" s="281"/>
      <c r="I327" s="281"/>
      <c r="J327" s="281"/>
      <c r="K327" s="281"/>
      <c r="L327" s="281"/>
      <c r="M327" s="281"/>
      <c r="N327" s="281"/>
      <c r="O327" s="281"/>
      <c r="P327" s="281"/>
      <c r="Q327" s="281"/>
      <c r="R327" s="281"/>
    </row>
    <row r="328" spans="2:5" ht="12.75" hidden="1" outlineLevel="1">
      <c r="B328" s="91" t="s">
        <v>139</v>
      </c>
      <c r="C328" s="90" t="s">
        <v>551</v>
      </c>
      <c r="D328" s="147" t="s">
        <v>163</v>
      </c>
      <c r="E328" s="89" t="s">
        <v>1346</v>
      </c>
    </row>
    <row r="329" spans="2:5" ht="12.75" hidden="1" outlineLevel="1">
      <c r="B329" s="91" t="s">
        <v>148</v>
      </c>
      <c r="C329" s="90" t="s">
        <v>552</v>
      </c>
      <c r="D329" s="147" t="s">
        <v>163</v>
      </c>
      <c r="E329" s="89" t="s">
        <v>1347</v>
      </c>
    </row>
    <row r="330" spans="2:10" ht="12.75" hidden="1" outlineLevel="1">
      <c r="B330" s="91" t="s">
        <v>154</v>
      </c>
      <c r="C330" s="90" t="s">
        <v>352</v>
      </c>
      <c r="D330" s="200" t="s">
        <v>163</v>
      </c>
      <c r="E330" s="89" t="s">
        <v>1348</v>
      </c>
      <c r="G330" s="96"/>
      <c r="H330" s="96"/>
      <c r="I330" s="96"/>
      <c r="J330" s="96"/>
    </row>
    <row r="331" spans="2:10" ht="12.75" hidden="1" outlineLevel="1">
      <c r="B331" s="91" t="s">
        <v>336</v>
      </c>
      <c r="C331" s="90" t="s">
        <v>281</v>
      </c>
      <c r="D331" s="147" t="s">
        <v>163</v>
      </c>
      <c r="E331" s="89" t="s">
        <v>1349</v>
      </c>
      <c r="G331" s="96"/>
      <c r="H331" s="96"/>
      <c r="I331" s="96"/>
      <c r="J331" s="96"/>
    </row>
    <row r="332" spans="2:10" ht="12.75" hidden="1" outlineLevel="1">
      <c r="B332" s="91" t="s">
        <v>334</v>
      </c>
      <c r="C332" s="90" t="s">
        <v>350</v>
      </c>
      <c r="D332" s="200" t="s">
        <v>163</v>
      </c>
      <c r="E332" s="89" t="s">
        <v>1350</v>
      </c>
      <c r="G332" s="96"/>
      <c r="H332" s="96"/>
      <c r="I332" s="96"/>
      <c r="J332" s="96"/>
    </row>
    <row r="333" spans="2:10" ht="12.75" hidden="1" outlineLevel="1">
      <c r="B333" s="91" t="s">
        <v>145</v>
      </c>
      <c r="C333" s="90" t="s">
        <v>439</v>
      </c>
      <c r="D333" s="147" t="s">
        <v>163</v>
      </c>
      <c r="E333" s="89" t="s">
        <v>1351</v>
      </c>
      <c r="G333" s="96"/>
      <c r="H333" s="96"/>
      <c r="I333" s="96"/>
      <c r="J333" s="96"/>
    </row>
    <row r="334" spans="2:5" ht="12.75" hidden="1" outlineLevel="1">
      <c r="B334" s="91" t="s">
        <v>152</v>
      </c>
      <c r="C334" s="90" t="s">
        <v>408</v>
      </c>
      <c r="D334" s="200" t="s">
        <v>163</v>
      </c>
      <c r="E334" s="89" t="s">
        <v>1352</v>
      </c>
    </row>
    <row r="335" spans="2:5" ht="12.75" hidden="1" outlineLevel="1">
      <c r="B335" s="91" t="s">
        <v>149</v>
      </c>
      <c r="C335" s="90" t="s">
        <v>277</v>
      </c>
      <c r="D335" s="147" t="s">
        <v>163</v>
      </c>
      <c r="E335" s="89" t="s">
        <v>661</v>
      </c>
    </row>
    <row r="336" spans="2:5" ht="12.75" hidden="1" outlineLevel="1">
      <c r="B336" s="91" t="s">
        <v>155</v>
      </c>
      <c r="C336" s="90" t="s">
        <v>351</v>
      </c>
      <c r="D336" s="147" t="s">
        <v>163</v>
      </c>
      <c r="E336" s="89" t="s">
        <v>1366</v>
      </c>
    </row>
    <row r="337" spans="2:18" ht="12.75" hidden="1" outlineLevel="1">
      <c r="B337" s="240" t="s">
        <v>155</v>
      </c>
      <c r="C337" s="238" t="s">
        <v>279</v>
      </c>
      <c r="D337" s="252" t="s">
        <v>163</v>
      </c>
      <c r="E337" s="89" t="s">
        <v>1638</v>
      </c>
      <c r="F337" s="89"/>
      <c r="G337" s="89"/>
      <c r="H337" s="89"/>
      <c r="I337" s="89"/>
      <c r="J337" s="89"/>
      <c r="K337" s="89"/>
      <c r="L337" s="89"/>
      <c r="M337" s="89"/>
      <c r="N337" s="89"/>
      <c r="O337" s="89"/>
      <c r="P337" s="89"/>
      <c r="Q337" s="89"/>
      <c r="R337" s="89"/>
    </row>
    <row r="338" spans="2:5" ht="12.75" hidden="1" outlineLevel="1">
      <c r="B338" s="91" t="s">
        <v>147</v>
      </c>
      <c r="C338" s="90" t="s">
        <v>353</v>
      </c>
      <c r="D338" s="147" t="s">
        <v>163</v>
      </c>
      <c r="E338" s="89" t="s">
        <v>1367</v>
      </c>
    </row>
    <row r="339" spans="2:5" ht="12.75" hidden="1" outlineLevel="1">
      <c r="B339" s="91" t="s">
        <v>151</v>
      </c>
      <c r="C339" s="90" t="s">
        <v>282</v>
      </c>
      <c r="D339" s="147" t="s">
        <v>163</v>
      </c>
      <c r="E339" s="89" t="s">
        <v>1368</v>
      </c>
    </row>
    <row r="340" spans="2:10" ht="12.75" hidden="1" outlineLevel="1">
      <c r="B340" s="91" t="s">
        <v>337</v>
      </c>
      <c r="C340" s="90" t="s">
        <v>553</v>
      </c>
      <c r="D340" s="147" t="s">
        <v>163</v>
      </c>
      <c r="E340" s="89" t="s">
        <v>1369</v>
      </c>
      <c r="G340" s="96"/>
      <c r="H340" s="96"/>
      <c r="I340" s="96"/>
      <c r="J340" s="96"/>
    </row>
    <row r="341" spans="2:10" ht="12.75" hidden="1" outlineLevel="1">
      <c r="B341" s="91" t="s">
        <v>156</v>
      </c>
      <c r="C341" s="90" t="s">
        <v>288</v>
      </c>
      <c r="D341" s="147" t="s">
        <v>163</v>
      </c>
      <c r="E341" s="89" t="s">
        <v>1370</v>
      </c>
      <c r="G341" s="96"/>
      <c r="H341" s="96"/>
      <c r="I341" s="96"/>
      <c r="J341" s="96"/>
    </row>
    <row r="342" spans="2:10" ht="12.75" hidden="1" outlineLevel="1">
      <c r="B342" s="91" t="s">
        <v>141</v>
      </c>
      <c r="C342" s="90" t="s">
        <v>445</v>
      </c>
      <c r="D342" s="200" t="s">
        <v>164</v>
      </c>
      <c r="E342" s="89"/>
      <c r="G342" s="96"/>
      <c r="H342" s="96"/>
      <c r="I342" s="96"/>
      <c r="J342" s="96"/>
    </row>
    <row r="343" spans="2:10" ht="12.75" hidden="1" outlineLevel="1">
      <c r="B343" s="91" t="s">
        <v>146</v>
      </c>
      <c r="C343" s="90" t="s">
        <v>550</v>
      </c>
      <c r="D343" s="200" t="s">
        <v>163</v>
      </c>
      <c r="E343" s="89" t="s">
        <v>1682</v>
      </c>
      <c r="G343" s="96"/>
      <c r="H343" s="96"/>
      <c r="I343" s="96"/>
      <c r="J343" s="96"/>
    </row>
    <row r="344" spans="2:5" ht="12.75" hidden="1" outlineLevel="1">
      <c r="B344" s="91" t="s">
        <v>143</v>
      </c>
      <c r="C344" s="90" t="s">
        <v>287</v>
      </c>
      <c r="D344" s="200" t="s">
        <v>164</v>
      </c>
      <c r="E344" s="89"/>
    </row>
    <row r="345" spans="2:5" ht="12.75" hidden="1" outlineLevel="1">
      <c r="B345" s="91" t="s">
        <v>144</v>
      </c>
      <c r="C345" s="90" t="s">
        <v>438</v>
      </c>
      <c r="D345" s="200" t="s">
        <v>164</v>
      </c>
      <c r="E345" s="89"/>
    </row>
    <row r="346" spans="2:5" ht="12.75" hidden="1" outlineLevel="1">
      <c r="B346" s="91" t="s">
        <v>154</v>
      </c>
      <c r="C346" s="90" t="s">
        <v>342</v>
      </c>
      <c r="D346" s="200" t="s">
        <v>164</v>
      </c>
      <c r="E346" s="89"/>
    </row>
    <row r="347" spans="2:5" ht="12.75" hidden="1" outlineLevel="1">
      <c r="B347" s="91" t="s">
        <v>335</v>
      </c>
      <c r="C347" s="90" t="s">
        <v>283</v>
      </c>
      <c r="D347" s="200" t="s">
        <v>164</v>
      </c>
      <c r="E347" s="89"/>
    </row>
    <row r="348" spans="2:5" ht="12.75" hidden="1" outlineLevel="1">
      <c r="B348" s="91" t="s">
        <v>150</v>
      </c>
      <c r="C348" s="90" t="s">
        <v>278</v>
      </c>
      <c r="D348" s="200" t="s">
        <v>164</v>
      </c>
      <c r="E348" s="89"/>
    </row>
    <row r="349" spans="2:5" ht="12.75" collapsed="1">
      <c r="B349" s="91"/>
      <c r="D349" s="89"/>
      <c r="E349" s="89"/>
    </row>
    <row r="350" s="107" customFormat="1" ht="12.75">
      <c r="B350" s="107" t="str">
        <f>+CONCATENATE("Yes"," = ",COUNTIF(D319:D348,"Yes"),CONCATENATE("  (",TEXT(COUNTIF(D319:D348,"Yes")/ROWS(D319:D348),"#%"),")"))</f>
        <v>Yes = 24  (80%)</v>
      </c>
    </row>
    <row r="351" s="107" customFormat="1" ht="12.75">
      <c r="B351" s="107" t="str">
        <f>+CONCATENATE("No"," = ",COUNTIF(D319:D348,"No"),CONCATENATE("  (",TEXT(COUNTIF(D319:D348,"No")/ROWS(D319:D348),"#%"),")"))</f>
        <v>No = 6  (20%)</v>
      </c>
    </row>
    <row r="352" s="107" customFormat="1" ht="12.75"/>
    <row r="353" s="107" customFormat="1" ht="12.75">
      <c r="C353" s="139" t="s">
        <v>1323</v>
      </c>
    </row>
    <row r="354" ht="12.75">
      <c r="C354" s="90" t="s">
        <v>1705</v>
      </c>
    </row>
    <row r="355" ht="12.75" hidden="1" outlineLevel="1"/>
    <row r="356" spans="3:11" ht="12.75" hidden="1" outlineLevel="1">
      <c r="C356" s="106">
        <v>2011</v>
      </c>
      <c r="D356" s="106">
        <v>2014</v>
      </c>
      <c r="E356" s="278" t="s">
        <v>1322</v>
      </c>
      <c r="F356" s="278"/>
      <c r="G356" s="96"/>
      <c r="H356" s="96"/>
      <c r="I356" s="96" t="s">
        <v>1508</v>
      </c>
      <c r="J356" s="96">
        <v>20.11</v>
      </c>
      <c r="K356" s="96">
        <v>20.14</v>
      </c>
    </row>
    <row r="357" spans="3:11" ht="12.75" hidden="1" outlineLevel="1">
      <c r="C357" s="147" t="str">
        <f>CONCATENATE("Yes"," = ",I357,CONCATENATE("    (",TEXT(I357/($H$653+$H$652),"#%"),")"))</f>
        <v>Yes = 21    (78%)</v>
      </c>
      <c r="D357" s="147" t="str">
        <f>B350</f>
        <v>Yes = 24  (80%)</v>
      </c>
      <c r="E357" s="189">
        <f>K357-J357</f>
        <v>0.022222222222222254</v>
      </c>
      <c r="F357" s="147"/>
      <c r="G357" s="96"/>
      <c r="H357" s="96" t="s">
        <v>163</v>
      </c>
      <c r="I357" s="96">
        <v>21</v>
      </c>
      <c r="J357" s="96">
        <f>(I357/(I357+I358))</f>
        <v>0.7777777777777778</v>
      </c>
      <c r="K357" s="96">
        <f>(COUNTIF(D319:D348,"Yes")/ROWS(D319:D348))</f>
        <v>0.8</v>
      </c>
    </row>
    <row r="358" spans="3:11" ht="12.75" hidden="1" outlineLevel="1">
      <c r="C358" s="147" t="str">
        <f>CONCATENATE("No","   = ",I358,CONCATENATE("    (",TEXT(I358/($H$653+$H$652),"#%"),")"))</f>
        <v>No   = 6    (22%)</v>
      </c>
      <c r="D358" s="147" t="str">
        <f>B351</f>
        <v>No = 6  (20%)</v>
      </c>
      <c r="E358" s="189">
        <f>K358-J358</f>
        <v>-0.022222222222222254</v>
      </c>
      <c r="F358" s="147"/>
      <c r="G358" s="96"/>
      <c r="H358" s="96" t="s">
        <v>164</v>
      </c>
      <c r="I358" s="96">
        <v>6</v>
      </c>
      <c r="J358" s="96">
        <f>(I358/(I357+I358))</f>
        <v>0.2222222222222222</v>
      </c>
      <c r="K358" s="96">
        <f>1-K357</f>
        <v>0.19999999999999996</v>
      </c>
    </row>
    <row r="359" spans="5:11" ht="12.75" hidden="1" outlineLevel="1">
      <c r="E359" s="245"/>
      <c r="G359" s="96"/>
      <c r="H359" s="96"/>
      <c r="I359" s="96"/>
      <c r="J359" s="96"/>
      <c r="K359" s="96"/>
    </row>
    <row r="360" ht="12.75" hidden="1" outlineLevel="1">
      <c r="E360" s="245"/>
    </row>
    <row r="361" spans="1:2" s="258" customFormat="1" ht="15" collapsed="1">
      <c r="A361" s="257">
        <v>9</v>
      </c>
      <c r="B361" s="258" t="s">
        <v>104</v>
      </c>
    </row>
    <row r="362" spans="2:4" s="130" customFormat="1" ht="12.75" hidden="1" outlineLevel="1">
      <c r="B362" s="185" t="s">
        <v>324</v>
      </c>
      <c r="C362" s="185" t="s">
        <v>189</v>
      </c>
      <c r="D362" s="259" t="s">
        <v>1615</v>
      </c>
    </row>
    <row r="363" spans="2:4" ht="12.75" hidden="1" outlineLevel="1">
      <c r="B363" s="91" t="s">
        <v>141</v>
      </c>
      <c r="C363" s="90" t="s">
        <v>445</v>
      </c>
      <c r="D363" s="199" t="s">
        <v>164</v>
      </c>
    </row>
    <row r="364" spans="2:4" ht="12.75" hidden="1" outlineLevel="1">
      <c r="B364" s="91" t="s">
        <v>146</v>
      </c>
      <c r="C364" s="90" t="s">
        <v>349</v>
      </c>
      <c r="D364" s="199" t="s">
        <v>164</v>
      </c>
    </row>
    <row r="365" spans="2:4" ht="12.75" hidden="1" outlineLevel="1">
      <c r="B365" s="91" t="s">
        <v>146</v>
      </c>
      <c r="C365" s="90" t="s">
        <v>550</v>
      </c>
      <c r="D365" s="199" t="s">
        <v>164</v>
      </c>
    </row>
    <row r="366" spans="2:4" ht="12.75" hidden="1" outlineLevel="1">
      <c r="B366" s="91" t="s">
        <v>142</v>
      </c>
      <c r="C366" s="90" t="s">
        <v>343</v>
      </c>
      <c r="D366" s="199" t="s">
        <v>164</v>
      </c>
    </row>
    <row r="367" spans="2:10" ht="12.75" hidden="1" outlineLevel="1">
      <c r="B367" s="91" t="s">
        <v>143</v>
      </c>
      <c r="C367" s="90" t="s">
        <v>437</v>
      </c>
      <c r="D367" s="199" t="s">
        <v>164</v>
      </c>
      <c r="G367" s="96"/>
      <c r="H367" s="96"/>
      <c r="I367" s="96"/>
      <c r="J367" s="96"/>
    </row>
    <row r="368" spans="2:10" ht="12.75" hidden="1" outlineLevel="1">
      <c r="B368" s="91" t="s">
        <v>143</v>
      </c>
      <c r="C368" s="90" t="s">
        <v>287</v>
      </c>
      <c r="D368" s="199" t="s">
        <v>164</v>
      </c>
      <c r="G368" s="96"/>
      <c r="H368" s="96"/>
      <c r="I368" s="96"/>
      <c r="J368" s="96"/>
    </row>
    <row r="369" spans="2:10" ht="12.75" hidden="1" outlineLevel="1">
      <c r="B369" s="91" t="s">
        <v>144</v>
      </c>
      <c r="C369" s="90" t="s">
        <v>438</v>
      </c>
      <c r="D369" s="199" t="s">
        <v>164</v>
      </c>
      <c r="G369" s="96"/>
      <c r="H369" s="96"/>
      <c r="I369" s="96"/>
      <c r="J369" s="96"/>
    </row>
    <row r="370" spans="2:10" ht="12.75" hidden="1" outlineLevel="1">
      <c r="B370" s="91" t="s">
        <v>153</v>
      </c>
      <c r="C370" s="90" t="s">
        <v>444</v>
      </c>
      <c r="D370" s="199" t="s">
        <v>164</v>
      </c>
      <c r="G370" s="96"/>
      <c r="H370" s="96"/>
      <c r="I370" s="96"/>
      <c r="J370" s="96"/>
    </row>
    <row r="371" spans="2:4" ht="12.75" hidden="1" outlineLevel="1">
      <c r="B371" s="91" t="s">
        <v>153</v>
      </c>
      <c r="C371" s="90" t="s">
        <v>446</v>
      </c>
      <c r="D371" s="199" t="s">
        <v>164</v>
      </c>
    </row>
    <row r="372" spans="2:4" ht="12.75" hidden="1" outlineLevel="1">
      <c r="B372" s="91" t="s">
        <v>139</v>
      </c>
      <c r="C372" s="90" t="s">
        <v>551</v>
      </c>
      <c r="D372" s="199" t="s">
        <v>164</v>
      </c>
    </row>
    <row r="373" spans="2:4" ht="12.75" hidden="1" outlineLevel="1">
      <c r="B373" s="91" t="s">
        <v>148</v>
      </c>
      <c r="C373" s="90" t="s">
        <v>552</v>
      </c>
      <c r="D373" s="199" t="s">
        <v>164</v>
      </c>
    </row>
    <row r="374" spans="2:4" ht="12.75" hidden="1" outlineLevel="1">
      <c r="B374" s="91" t="s">
        <v>154</v>
      </c>
      <c r="C374" s="90" t="s">
        <v>352</v>
      </c>
      <c r="D374" s="199" t="s">
        <v>164</v>
      </c>
    </row>
    <row r="375" spans="2:4" ht="12.75" hidden="1" outlineLevel="1">
      <c r="B375" s="91" t="s">
        <v>154</v>
      </c>
      <c r="C375" s="90" t="s">
        <v>342</v>
      </c>
      <c r="D375" s="199" t="s">
        <v>164</v>
      </c>
    </row>
    <row r="376" spans="2:4" ht="12.75" hidden="1" outlineLevel="1">
      <c r="B376" s="91" t="s">
        <v>336</v>
      </c>
      <c r="C376" s="90" t="s">
        <v>281</v>
      </c>
      <c r="D376" s="199" t="s">
        <v>164</v>
      </c>
    </row>
    <row r="377" spans="2:4" ht="12.75" hidden="1" outlineLevel="1">
      <c r="B377" s="91" t="s">
        <v>334</v>
      </c>
      <c r="C377" s="90" t="s">
        <v>350</v>
      </c>
      <c r="D377" s="199" t="s">
        <v>164</v>
      </c>
    </row>
    <row r="378" spans="2:4" ht="12.75" hidden="1" outlineLevel="1">
      <c r="B378" s="91" t="s">
        <v>145</v>
      </c>
      <c r="C378" s="90" t="s">
        <v>439</v>
      </c>
      <c r="D378" s="199" t="s">
        <v>164</v>
      </c>
    </row>
    <row r="379" spans="2:4" ht="12.75" hidden="1" outlineLevel="1">
      <c r="B379" s="91" t="s">
        <v>335</v>
      </c>
      <c r="C379" s="90" t="s">
        <v>283</v>
      </c>
      <c r="D379" s="199" t="s">
        <v>164</v>
      </c>
    </row>
    <row r="380" spans="2:4" ht="12.75" hidden="1" outlineLevel="1">
      <c r="B380" s="91" t="s">
        <v>152</v>
      </c>
      <c r="C380" s="90" t="s">
        <v>408</v>
      </c>
      <c r="D380" s="199" t="s">
        <v>164</v>
      </c>
    </row>
    <row r="381" spans="2:4" ht="12.75" hidden="1" outlineLevel="1">
      <c r="B381" s="91" t="s">
        <v>149</v>
      </c>
      <c r="C381" s="90" t="s">
        <v>277</v>
      </c>
      <c r="D381" s="199" t="s">
        <v>164</v>
      </c>
    </row>
    <row r="382" spans="2:4" ht="12.75" hidden="1" outlineLevel="1">
      <c r="B382" s="91" t="s">
        <v>150</v>
      </c>
      <c r="C382" s="90" t="s">
        <v>278</v>
      </c>
      <c r="D382" s="199" t="s">
        <v>164</v>
      </c>
    </row>
    <row r="383" spans="2:4" ht="12.75" hidden="1" outlineLevel="1">
      <c r="B383" s="91" t="s">
        <v>155</v>
      </c>
      <c r="C383" s="90" t="s">
        <v>351</v>
      </c>
      <c r="D383" s="199" t="s">
        <v>164</v>
      </c>
    </row>
    <row r="384" spans="2:4" ht="12.75" hidden="1" outlineLevel="1">
      <c r="B384" s="91" t="s">
        <v>155</v>
      </c>
      <c r="C384" s="90" t="s">
        <v>279</v>
      </c>
      <c r="D384" s="199" t="s">
        <v>164</v>
      </c>
    </row>
    <row r="385" spans="2:4" ht="12.75" hidden="1" outlineLevel="1">
      <c r="B385" s="91" t="s">
        <v>147</v>
      </c>
      <c r="C385" s="90" t="s">
        <v>353</v>
      </c>
      <c r="D385" s="199" t="s">
        <v>164</v>
      </c>
    </row>
    <row r="386" spans="2:4" ht="12.75" hidden="1" outlineLevel="1">
      <c r="B386" s="91" t="s">
        <v>151</v>
      </c>
      <c r="C386" s="90" t="s">
        <v>282</v>
      </c>
      <c r="D386" s="199" t="s">
        <v>164</v>
      </c>
    </row>
    <row r="387" spans="2:4" ht="12.75" hidden="1" outlineLevel="1">
      <c r="B387" s="91" t="s">
        <v>337</v>
      </c>
      <c r="C387" s="90" t="s">
        <v>553</v>
      </c>
      <c r="D387" s="199" t="s">
        <v>164</v>
      </c>
    </row>
    <row r="388" spans="2:4" ht="12.75" hidden="1" outlineLevel="1">
      <c r="B388" s="91" t="s">
        <v>156</v>
      </c>
      <c r="C388" s="90" t="s">
        <v>288</v>
      </c>
      <c r="D388" s="199" t="s">
        <v>164</v>
      </c>
    </row>
    <row r="389" spans="2:4" ht="12.75" collapsed="1">
      <c r="B389" s="91"/>
      <c r="D389" s="89"/>
    </row>
    <row r="390" s="107" customFormat="1" ht="12.75">
      <c r="B390" s="107" t="str">
        <f>+CONCATENATE("Yes"," = ",COUNTIF(D363:D388,"Yes"),CONCATENATE("  (",TEXT(COUNTIF(D363:D388,"Yes")/ROWS(D363:D388),"#%"),")"))</f>
        <v>Yes = 0  (%)</v>
      </c>
    </row>
    <row r="391" s="107" customFormat="1" ht="12.75">
      <c r="B391" s="107" t="str">
        <f>+CONCATENATE("No"," = ",COUNTIF(D363:D388,"No"),CONCATENATE("  (",TEXT(COUNTIF(D363:D388,"No")/ROWS(D363:D388),"#%"),")"))</f>
        <v>No = 26  (100%)</v>
      </c>
    </row>
    <row r="392" s="107" customFormat="1" ht="12.75"/>
    <row r="393" s="107" customFormat="1" ht="12.75">
      <c r="C393" s="139" t="s">
        <v>1323</v>
      </c>
    </row>
    <row r="394" ht="12.75">
      <c r="C394" s="90" t="s">
        <v>1706</v>
      </c>
    </row>
    <row r="395" spans="7:12" ht="12.75" hidden="1" outlineLevel="1">
      <c r="G395" s="96"/>
      <c r="H395" s="96"/>
      <c r="I395" s="96"/>
      <c r="J395" s="96"/>
      <c r="K395" s="96"/>
      <c r="L395" s="96"/>
    </row>
    <row r="396" spans="3:12" ht="12.75" hidden="1" outlineLevel="1">
      <c r="C396" s="106">
        <v>2011</v>
      </c>
      <c r="D396" s="106">
        <v>2014</v>
      </c>
      <c r="E396" s="278" t="s">
        <v>1322</v>
      </c>
      <c r="F396" s="278"/>
      <c r="G396" s="96"/>
      <c r="H396" s="96"/>
      <c r="I396" s="96" t="s">
        <v>1508</v>
      </c>
      <c r="J396" s="96">
        <v>20.11</v>
      </c>
      <c r="K396" s="96">
        <v>20.14</v>
      </c>
      <c r="L396" s="96"/>
    </row>
    <row r="397" spans="3:12" ht="12.75" hidden="1" outlineLevel="1">
      <c r="C397" s="147" t="str">
        <f>CONCATENATE("Yes"," = ",I397,CONCATENATE("    (",TEXT(I397/($H$653+$H$652),"#%"),")"))</f>
        <v>Yes = 1    (4%)</v>
      </c>
      <c r="D397" s="147" t="str">
        <f>B390</f>
        <v>Yes = 0  (%)</v>
      </c>
      <c r="E397" s="189">
        <f>K397-J397</f>
        <v>-0.037037037037037035</v>
      </c>
      <c r="F397" s="147"/>
      <c r="G397" s="96"/>
      <c r="H397" s="96" t="s">
        <v>163</v>
      </c>
      <c r="I397" s="96">
        <v>1</v>
      </c>
      <c r="J397" s="96">
        <f>(I397/(I397+I398))</f>
        <v>0.037037037037037035</v>
      </c>
      <c r="K397" s="96">
        <f>(COUNTIF(D363:D388,"Yes")/ROWS(D363:D388))</f>
        <v>0</v>
      </c>
      <c r="L397" s="96"/>
    </row>
    <row r="398" spans="3:12" ht="12.75" hidden="1" outlineLevel="1">
      <c r="C398" s="147" t="str">
        <f>CONCATENATE("No","   = ",I398,CONCATENATE("    (",TEXT(I398/($H$653+$H$652),"#%"),")"))</f>
        <v>No   = 26    (96%)</v>
      </c>
      <c r="D398" s="147" t="str">
        <f>B391</f>
        <v>No = 26  (100%)</v>
      </c>
      <c r="E398" s="189">
        <f>K398-J398</f>
        <v>0.03703703703703709</v>
      </c>
      <c r="F398" s="147"/>
      <c r="G398" s="96"/>
      <c r="H398" s="96" t="s">
        <v>164</v>
      </c>
      <c r="I398" s="96">
        <v>26</v>
      </c>
      <c r="J398" s="96">
        <f>(I398/(I397+I398))</f>
        <v>0.9629629629629629</v>
      </c>
      <c r="K398" s="96">
        <f>1-K397</f>
        <v>1</v>
      </c>
      <c r="L398" s="96"/>
    </row>
    <row r="399" spans="7:12" ht="12.75" collapsed="1">
      <c r="G399" s="96"/>
      <c r="H399" s="96"/>
      <c r="I399" s="96"/>
      <c r="J399" s="96"/>
      <c r="K399" s="96"/>
      <c r="L399" s="96"/>
    </row>
    <row r="400" spans="1:2" s="119" customFormat="1" ht="15">
      <c r="A400" s="117">
        <v>10</v>
      </c>
      <c r="B400" s="119" t="s">
        <v>105</v>
      </c>
    </row>
    <row r="401" spans="2:4" s="130" customFormat="1" ht="12.75" hidden="1" outlineLevel="1">
      <c r="B401" s="185" t="s">
        <v>324</v>
      </c>
      <c r="C401" s="185" t="s">
        <v>189</v>
      </c>
      <c r="D401" s="201" t="s">
        <v>258</v>
      </c>
    </row>
    <row r="402" spans="2:4" ht="12.75" hidden="1" outlineLevel="1">
      <c r="B402" s="91" t="s">
        <v>336</v>
      </c>
      <c r="C402" s="90" t="s">
        <v>281</v>
      </c>
      <c r="D402" s="200" t="s">
        <v>163</v>
      </c>
    </row>
    <row r="403" spans="2:4" ht="12.75" hidden="1" outlineLevel="1">
      <c r="B403" s="91" t="s">
        <v>147</v>
      </c>
      <c r="C403" s="90" t="s">
        <v>353</v>
      </c>
      <c r="D403" s="200" t="s">
        <v>163</v>
      </c>
    </row>
    <row r="404" spans="2:4" ht="12.75" hidden="1" outlineLevel="1">
      <c r="B404" s="91" t="s">
        <v>140</v>
      </c>
      <c r="C404" s="90" t="s">
        <v>341</v>
      </c>
      <c r="D404" s="147" t="s">
        <v>164</v>
      </c>
    </row>
    <row r="405" spans="2:4" ht="12.75" hidden="1" outlineLevel="1">
      <c r="B405" s="91" t="s">
        <v>332</v>
      </c>
      <c r="C405" s="90" t="s">
        <v>554</v>
      </c>
      <c r="D405" s="200" t="s">
        <v>164</v>
      </c>
    </row>
    <row r="406" spans="2:4" ht="12.75" hidden="1" outlineLevel="1">
      <c r="B406" s="91" t="s">
        <v>332</v>
      </c>
      <c r="C406" s="90" t="s">
        <v>436</v>
      </c>
      <c r="D406" s="200" t="s">
        <v>164</v>
      </c>
    </row>
    <row r="407" spans="2:4" ht="12.75" hidden="1" outlineLevel="1">
      <c r="B407" s="91" t="s">
        <v>332</v>
      </c>
      <c r="C407" s="90" t="s">
        <v>286</v>
      </c>
      <c r="D407" s="200" t="s">
        <v>164</v>
      </c>
    </row>
    <row r="408" spans="2:4" ht="12.75" hidden="1" outlineLevel="1">
      <c r="B408" s="91" t="s">
        <v>141</v>
      </c>
      <c r="C408" s="90" t="s">
        <v>445</v>
      </c>
      <c r="D408" s="200" t="s">
        <v>164</v>
      </c>
    </row>
    <row r="409" spans="2:4" ht="12.75" hidden="1" outlineLevel="1">
      <c r="B409" s="91" t="s">
        <v>146</v>
      </c>
      <c r="C409" s="90" t="s">
        <v>349</v>
      </c>
      <c r="D409" s="200" t="s">
        <v>164</v>
      </c>
    </row>
    <row r="410" spans="2:10" ht="12.75" hidden="1" outlineLevel="1">
      <c r="B410" s="91" t="s">
        <v>146</v>
      </c>
      <c r="C410" s="90" t="s">
        <v>550</v>
      </c>
      <c r="D410" s="200" t="s">
        <v>164</v>
      </c>
      <c r="G410" s="96"/>
      <c r="H410" s="96"/>
      <c r="I410" s="96"/>
      <c r="J410" s="96"/>
    </row>
    <row r="411" spans="2:10" ht="12.75" hidden="1" outlineLevel="1">
      <c r="B411" s="91" t="s">
        <v>142</v>
      </c>
      <c r="C411" s="90" t="s">
        <v>343</v>
      </c>
      <c r="D411" s="200" t="s">
        <v>164</v>
      </c>
      <c r="G411" s="96"/>
      <c r="H411" s="96"/>
      <c r="I411" s="96"/>
      <c r="J411" s="96"/>
    </row>
    <row r="412" spans="2:10" ht="12.75" hidden="1" outlineLevel="1">
      <c r="B412" s="91" t="s">
        <v>143</v>
      </c>
      <c r="C412" s="90" t="s">
        <v>437</v>
      </c>
      <c r="D412" s="200" t="s">
        <v>164</v>
      </c>
      <c r="G412" s="96"/>
      <c r="H412" s="96"/>
      <c r="I412" s="96"/>
      <c r="J412" s="96"/>
    </row>
    <row r="413" spans="2:10" ht="12.75" hidden="1" outlineLevel="1">
      <c r="B413" s="91" t="s">
        <v>143</v>
      </c>
      <c r="C413" s="90" t="s">
        <v>287</v>
      </c>
      <c r="D413" s="200" t="s">
        <v>164</v>
      </c>
      <c r="G413" s="96"/>
      <c r="H413" s="96"/>
      <c r="I413" s="96"/>
      <c r="J413" s="96"/>
    </row>
    <row r="414" spans="2:4" ht="12.75" hidden="1" outlineLevel="1">
      <c r="B414" s="91" t="s">
        <v>144</v>
      </c>
      <c r="C414" s="90" t="s">
        <v>438</v>
      </c>
      <c r="D414" s="200" t="s">
        <v>164</v>
      </c>
    </row>
    <row r="415" spans="2:4" ht="12.75" hidden="1" outlineLevel="1">
      <c r="B415" s="91" t="s">
        <v>153</v>
      </c>
      <c r="C415" s="90" t="s">
        <v>444</v>
      </c>
      <c r="D415" s="200" t="s">
        <v>164</v>
      </c>
    </row>
    <row r="416" spans="2:4" ht="12.75" hidden="1" outlineLevel="1">
      <c r="B416" s="91" t="s">
        <v>153</v>
      </c>
      <c r="C416" s="90" t="s">
        <v>446</v>
      </c>
      <c r="D416" s="200" t="s">
        <v>164</v>
      </c>
    </row>
    <row r="417" spans="2:4" ht="12.75" hidden="1" outlineLevel="1">
      <c r="B417" s="91" t="s">
        <v>139</v>
      </c>
      <c r="C417" s="90" t="s">
        <v>551</v>
      </c>
      <c r="D417" s="200" t="s">
        <v>164</v>
      </c>
    </row>
    <row r="418" spans="2:4" ht="12.75" hidden="1" outlineLevel="1">
      <c r="B418" s="91" t="s">
        <v>148</v>
      </c>
      <c r="C418" s="90" t="s">
        <v>552</v>
      </c>
      <c r="D418" s="200" t="s">
        <v>164</v>
      </c>
    </row>
    <row r="419" spans="2:4" ht="12.75" hidden="1" outlineLevel="1">
      <c r="B419" s="91" t="s">
        <v>154</v>
      </c>
      <c r="C419" s="90" t="s">
        <v>352</v>
      </c>
      <c r="D419" s="200" t="s">
        <v>164</v>
      </c>
    </row>
    <row r="420" spans="2:4" ht="12.75" hidden="1" outlineLevel="1">
      <c r="B420" s="91" t="s">
        <v>154</v>
      </c>
      <c r="C420" s="90" t="s">
        <v>342</v>
      </c>
      <c r="D420" s="200" t="s">
        <v>164</v>
      </c>
    </row>
    <row r="421" spans="2:4" ht="12.75" hidden="1" outlineLevel="1">
      <c r="B421" s="91" t="s">
        <v>334</v>
      </c>
      <c r="C421" s="90" t="s">
        <v>350</v>
      </c>
      <c r="D421" s="200" t="s">
        <v>164</v>
      </c>
    </row>
    <row r="422" spans="2:4" ht="12.75" hidden="1" outlineLevel="1">
      <c r="B422" s="91" t="s">
        <v>145</v>
      </c>
      <c r="C422" s="90" t="s">
        <v>439</v>
      </c>
      <c r="D422" s="200" t="s">
        <v>164</v>
      </c>
    </row>
    <row r="423" spans="2:4" ht="12.75" hidden="1" outlineLevel="1">
      <c r="B423" s="91" t="s">
        <v>335</v>
      </c>
      <c r="C423" s="90" t="s">
        <v>283</v>
      </c>
      <c r="D423" s="200" t="s">
        <v>164</v>
      </c>
    </row>
    <row r="424" spans="2:4" ht="12.75" hidden="1" outlineLevel="1">
      <c r="B424" s="91" t="s">
        <v>152</v>
      </c>
      <c r="C424" s="90" t="s">
        <v>408</v>
      </c>
      <c r="D424" s="200" t="s">
        <v>164</v>
      </c>
    </row>
    <row r="425" spans="2:4" ht="12.75" hidden="1" outlineLevel="1">
      <c r="B425" s="91" t="s">
        <v>149</v>
      </c>
      <c r="C425" s="90" t="s">
        <v>277</v>
      </c>
      <c r="D425" s="200" t="s">
        <v>164</v>
      </c>
    </row>
    <row r="426" spans="2:10" ht="12.75" hidden="1" outlineLevel="1">
      <c r="B426" s="91" t="s">
        <v>150</v>
      </c>
      <c r="C426" s="90" t="s">
        <v>278</v>
      </c>
      <c r="D426" s="200" t="s">
        <v>164</v>
      </c>
      <c r="G426" s="96"/>
      <c r="H426" s="96"/>
      <c r="I426" s="96"/>
      <c r="J426" s="96"/>
    </row>
    <row r="427" spans="2:10" ht="12.75" hidden="1" outlineLevel="1">
      <c r="B427" s="91" t="s">
        <v>155</v>
      </c>
      <c r="C427" s="90" t="s">
        <v>351</v>
      </c>
      <c r="D427" s="200" t="s">
        <v>164</v>
      </c>
      <c r="G427" s="96"/>
      <c r="H427" s="96"/>
      <c r="I427" s="96"/>
      <c r="J427" s="96"/>
    </row>
    <row r="428" spans="2:10" ht="12.75" hidden="1" outlineLevel="1">
      <c r="B428" s="91" t="s">
        <v>155</v>
      </c>
      <c r="C428" s="90" t="s">
        <v>279</v>
      </c>
      <c r="D428" s="200" t="s">
        <v>164</v>
      </c>
      <c r="G428" s="96"/>
      <c r="H428" s="96"/>
      <c r="I428" s="96"/>
      <c r="J428" s="96"/>
    </row>
    <row r="429" spans="2:10" ht="12.75" hidden="1" outlineLevel="1">
      <c r="B429" s="91" t="s">
        <v>151</v>
      </c>
      <c r="C429" s="90" t="s">
        <v>282</v>
      </c>
      <c r="D429" s="200" t="s">
        <v>164</v>
      </c>
      <c r="G429" s="96"/>
      <c r="H429" s="96"/>
      <c r="I429" s="96"/>
      <c r="J429" s="96"/>
    </row>
    <row r="430" spans="2:4" ht="12.75" hidden="1" outlineLevel="1">
      <c r="B430" s="91" t="s">
        <v>337</v>
      </c>
      <c r="C430" s="90" t="s">
        <v>553</v>
      </c>
      <c r="D430" s="200" t="s">
        <v>164</v>
      </c>
    </row>
    <row r="431" spans="2:4" ht="12.75" hidden="1" outlineLevel="1">
      <c r="B431" s="91" t="s">
        <v>156</v>
      </c>
      <c r="C431" s="90" t="s">
        <v>288</v>
      </c>
      <c r="D431" s="200" t="s">
        <v>164</v>
      </c>
    </row>
    <row r="432" spans="2:4" ht="12.75" collapsed="1">
      <c r="B432" s="91"/>
      <c r="D432" s="200"/>
    </row>
    <row r="433" s="107" customFormat="1" ht="12.75">
      <c r="B433" s="107" t="str">
        <f>+CONCATENATE("Yes"," = ",COUNTIF(D402:D431,"Yes"),CONCATENATE("  (",TEXT(COUNTIF(D402:D431,"Yes")/ROWS(D402:D431),"#%"),")"))</f>
        <v>Yes = 2  (7%)</v>
      </c>
    </row>
    <row r="434" s="107" customFormat="1" ht="12.75">
      <c r="B434" s="107" t="str">
        <f>+CONCATENATE("No"," = ",COUNTIF(D402:D431,"No"),CONCATENATE("  (",TEXT(COUNTIF(D402:D431,"No")/ROWS(D402:D431),"#%"),")"))</f>
        <v>No = 28  (93%)</v>
      </c>
    </row>
    <row r="435" s="107" customFormat="1" ht="12.75"/>
    <row r="436" s="107" customFormat="1" ht="12.75">
      <c r="C436" s="139" t="s">
        <v>1323</v>
      </c>
    </row>
    <row r="437" ht="12.75">
      <c r="C437" s="90" t="s">
        <v>1707</v>
      </c>
    </row>
    <row r="438" spans="7:11" ht="12.75" hidden="1" outlineLevel="1">
      <c r="G438" s="96"/>
      <c r="H438" s="96"/>
      <c r="I438" s="96"/>
      <c r="J438" s="96"/>
      <c r="K438" s="96"/>
    </row>
    <row r="439" spans="3:11" ht="12.75" hidden="1" outlineLevel="1">
      <c r="C439" s="106">
        <v>2011</v>
      </c>
      <c r="D439" s="106">
        <v>2014</v>
      </c>
      <c r="E439" s="278" t="s">
        <v>1322</v>
      </c>
      <c r="F439" s="278"/>
      <c r="G439" s="96"/>
      <c r="H439" s="96"/>
      <c r="I439" s="96" t="s">
        <v>1508</v>
      </c>
      <c r="J439" s="96">
        <v>20.11</v>
      </c>
      <c r="K439" s="96">
        <v>20.14</v>
      </c>
    </row>
    <row r="440" spans="3:11" ht="12.75" hidden="1" outlineLevel="1">
      <c r="C440" s="147" t="str">
        <f>CONCATENATE("Yes"," = ",I440,CONCATENATE("    (",TEXT(I440/($H$653+$H$652),"#%"),")"))</f>
        <v>Yes = 3    (11%)</v>
      </c>
      <c r="D440" s="147" t="str">
        <f>B433</f>
        <v>Yes = 2  (7%)</v>
      </c>
      <c r="E440" s="189">
        <f>K440-J440</f>
        <v>-0.048717948717948725</v>
      </c>
      <c r="F440" s="147"/>
      <c r="G440" s="96"/>
      <c r="H440" s="96" t="s">
        <v>163</v>
      </c>
      <c r="I440" s="96">
        <v>3</v>
      </c>
      <c r="J440" s="96">
        <f>(I440/(I440+I441))</f>
        <v>0.11538461538461539</v>
      </c>
      <c r="K440" s="96">
        <f>(COUNTIF(D402:D431,"Yes")/ROWS(D402:D431))</f>
        <v>0.06666666666666667</v>
      </c>
    </row>
    <row r="441" spans="3:11" ht="12.75" hidden="1" outlineLevel="1">
      <c r="C441" s="147" t="str">
        <f>CONCATENATE("No","   = ",I441,CONCATENATE("    (",TEXT(I441/($H$653+$H$652),"#%"),")"))</f>
        <v>No   = 23    (85%)</v>
      </c>
      <c r="D441" s="147" t="str">
        <f>B434</f>
        <v>No = 28  (93%)</v>
      </c>
      <c r="E441" s="189">
        <f>K441-J441</f>
        <v>0.04871794871794877</v>
      </c>
      <c r="F441" s="147"/>
      <c r="G441" s="96"/>
      <c r="H441" s="96" t="s">
        <v>164</v>
      </c>
      <c r="I441" s="96">
        <v>23</v>
      </c>
      <c r="J441" s="96">
        <f>(I441/(I440+I441))</f>
        <v>0.8846153846153846</v>
      </c>
      <c r="K441" s="96">
        <f>1-K440</f>
        <v>0.9333333333333333</v>
      </c>
    </row>
    <row r="442" ht="12.75" collapsed="1"/>
    <row r="443" spans="1:2" s="119" customFormat="1" ht="15">
      <c r="A443" s="117">
        <v>11</v>
      </c>
      <c r="B443" s="119" t="s">
        <v>106</v>
      </c>
    </row>
    <row r="444" spans="2:4" s="130" customFormat="1" ht="12.75" hidden="1" outlineLevel="1">
      <c r="B444" s="185" t="s">
        <v>324</v>
      </c>
      <c r="C444" s="185" t="s">
        <v>189</v>
      </c>
      <c r="D444" s="201" t="s">
        <v>1371</v>
      </c>
    </row>
    <row r="445" spans="2:4" ht="12.75" hidden="1" outlineLevel="1">
      <c r="B445" s="91" t="s">
        <v>140</v>
      </c>
      <c r="C445" s="90" t="s">
        <v>341</v>
      </c>
      <c r="D445" s="147" t="s">
        <v>163</v>
      </c>
    </row>
    <row r="446" spans="2:4" ht="12.75" hidden="1" outlineLevel="1">
      <c r="B446" s="91" t="s">
        <v>332</v>
      </c>
      <c r="C446" s="90" t="s">
        <v>436</v>
      </c>
      <c r="D446" s="200" t="s">
        <v>163</v>
      </c>
    </row>
    <row r="447" spans="2:4" ht="12.75" hidden="1" outlineLevel="1">
      <c r="B447" s="91" t="s">
        <v>141</v>
      </c>
      <c r="C447" s="90" t="s">
        <v>445</v>
      </c>
      <c r="D447" s="200" t="s">
        <v>163</v>
      </c>
    </row>
    <row r="448" spans="2:4" ht="12.75" hidden="1" outlineLevel="1">
      <c r="B448" s="91" t="s">
        <v>146</v>
      </c>
      <c r="C448" s="90" t="s">
        <v>349</v>
      </c>
      <c r="D448" s="200" t="s">
        <v>163</v>
      </c>
    </row>
    <row r="449" spans="2:4" ht="12.75" hidden="1" outlineLevel="1">
      <c r="B449" s="91" t="s">
        <v>146</v>
      </c>
      <c r="C449" s="90" t="s">
        <v>550</v>
      </c>
      <c r="D449" s="200" t="s">
        <v>163</v>
      </c>
    </row>
    <row r="450" spans="2:4" ht="12.75" hidden="1" outlineLevel="1">
      <c r="B450" s="91" t="s">
        <v>142</v>
      </c>
      <c r="C450" s="90" t="s">
        <v>343</v>
      </c>
      <c r="D450" s="200" t="s">
        <v>163</v>
      </c>
    </row>
    <row r="451" spans="2:4" ht="12.75" hidden="1" outlineLevel="1">
      <c r="B451" s="91" t="s">
        <v>144</v>
      </c>
      <c r="C451" s="90" t="s">
        <v>438</v>
      </c>
      <c r="D451" s="200" t="s">
        <v>163</v>
      </c>
    </row>
    <row r="452" spans="2:4" ht="12.75" hidden="1" outlineLevel="1">
      <c r="B452" s="91" t="s">
        <v>153</v>
      </c>
      <c r="C452" s="90" t="s">
        <v>446</v>
      </c>
      <c r="D452" s="200" t="s">
        <v>163</v>
      </c>
    </row>
    <row r="453" spans="2:4" ht="12.75" hidden="1" outlineLevel="1">
      <c r="B453" s="91" t="s">
        <v>139</v>
      </c>
      <c r="C453" s="90" t="s">
        <v>551</v>
      </c>
      <c r="D453" s="200" t="s">
        <v>163</v>
      </c>
    </row>
    <row r="454" spans="2:10" ht="12.75" hidden="1" outlineLevel="1">
      <c r="B454" s="91" t="s">
        <v>154</v>
      </c>
      <c r="C454" s="90" t="s">
        <v>352</v>
      </c>
      <c r="D454" s="200" t="s">
        <v>163</v>
      </c>
      <c r="G454" s="96"/>
      <c r="H454" s="96"/>
      <c r="I454" s="96"/>
      <c r="J454" s="96"/>
    </row>
    <row r="455" spans="2:10" ht="12.75" hidden="1" outlineLevel="1">
      <c r="B455" s="91" t="s">
        <v>154</v>
      </c>
      <c r="C455" s="90" t="s">
        <v>342</v>
      </c>
      <c r="D455" s="200" t="s">
        <v>163</v>
      </c>
      <c r="G455" s="96"/>
      <c r="H455" s="96"/>
      <c r="I455" s="96"/>
      <c r="J455" s="96"/>
    </row>
    <row r="456" spans="2:10" ht="12.75" hidden="1" outlineLevel="1">
      <c r="B456" s="91" t="s">
        <v>145</v>
      </c>
      <c r="C456" s="90" t="s">
        <v>439</v>
      </c>
      <c r="D456" s="200" t="s">
        <v>163</v>
      </c>
      <c r="G456" s="96"/>
      <c r="H456" s="96"/>
      <c r="I456" s="96"/>
      <c r="J456" s="96"/>
    </row>
    <row r="457" spans="2:10" ht="12.75" hidden="1" outlineLevel="1">
      <c r="B457" s="91" t="s">
        <v>149</v>
      </c>
      <c r="C457" s="90" t="s">
        <v>277</v>
      </c>
      <c r="D457" s="200" t="s">
        <v>163</v>
      </c>
      <c r="G457" s="96"/>
      <c r="H457" s="96"/>
      <c r="I457" s="96"/>
      <c r="J457" s="96"/>
    </row>
    <row r="458" spans="2:4" ht="12.75" hidden="1" outlineLevel="1">
      <c r="B458" s="91" t="s">
        <v>150</v>
      </c>
      <c r="C458" s="90" t="s">
        <v>278</v>
      </c>
      <c r="D458" s="200" t="s">
        <v>163</v>
      </c>
    </row>
    <row r="459" spans="2:4" ht="12.75" hidden="1" outlineLevel="1">
      <c r="B459" s="91" t="s">
        <v>155</v>
      </c>
      <c r="C459" s="90" t="s">
        <v>351</v>
      </c>
      <c r="D459" s="200" t="s">
        <v>163</v>
      </c>
    </row>
    <row r="460" spans="2:4" ht="12.75" hidden="1" outlineLevel="1">
      <c r="B460" s="91" t="s">
        <v>147</v>
      </c>
      <c r="C460" s="90" t="s">
        <v>353</v>
      </c>
      <c r="D460" s="200" t="s">
        <v>163</v>
      </c>
    </row>
    <row r="461" spans="2:4" ht="12.75" hidden="1" outlineLevel="1">
      <c r="B461" s="91" t="s">
        <v>151</v>
      </c>
      <c r="C461" s="90" t="s">
        <v>282</v>
      </c>
      <c r="D461" s="200" t="s">
        <v>163</v>
      </c>
    </row>
    <row r="462" spans="2:4" ht="12.75" hidden="1" outlineLevel="1">
      <c r="B462" s="91" t="s">
        <v>337</v>
      </c>
      <c r="C462" s="90" t="s">
        <v>553</v>
      </c>
      <c r="D462" s="200" t="s">
        <v>163</v>
      </c>
    </row>
    <row r="463" spans="2:4" ht="12.75" hidden="1" outlineLevel="1">
      <c r="B463" s="91" t="s">
        <v>332</v>
      </c>
      <c r="C463" s="90" t="s">
        <v>554</v>
      </c>
      <c r="D463" s="200" t="s">
        <v>164</v>
      </c>
    </row>
    <row r="464" spans="2:4" ht="12.75" hidden="1" outlineLevel="1">
      <c r="B464" s="91" t="s">
        <v>332</v>
      </c>
      <c r="C464" s="90" t="s">
        <v>286</v>
      </c>
      <c r="D464" s="200" t="s">
        <v>164</v>
      </c>
    </row>
    <row r="465" spans="2:4" ht="12.75" hidden="1" outlineLevel="1">
      <c r="B465" s="91" t="s">
        <v>143</v>
      </c>
      <c r="C465" s="90" t="s">
        <v>437</v>
      </c>
      <c r="D465" s="200" t="s">
        <v>164</v>
      </c>
    </row>
    <row r="466" spans="2:4" ht="12.75" hidden="1" outlineLevel="1">
      <c r="B466" s="91" t="s">
        <v>143</v>
      </c>
      <c r="C466" s="90" t="s">
        <v>287</v>
      </c>
      <c r="D466" s="200" t="s">
        <v>164</v>
      </c>
    </row>
    <row r="467" spans="2:4" ht="12.75" hidden="1" outlineLevel="1">
      <c r="B467" s="91" t="s">
        <v>153</v>
      </c>
      <c r="C467" s="90" t="s">
        <v>444</v>
      </c>
      <c r="D467" s="200" t="s">
        <v>164</v>
      </c>
    </row>
    <row r="468" spans="2:4" ht="12.75" hidden="1" outlineLevel="1">
      <c r="B468" s="91" t="s">
        <v>148</v>
      </c>
      <c r="C468" s="90" t="s">
        <v>552</v>
      </c>
      <c r="D468" s="200" t="s">
        <v>164</v>
      </c>
    </row>
    <row r="469" spans="2:4" ht="12.75" hidden="1" outlineLevel="1">
      <c r="B469" s="91" t="s">
        <v>336</v>
      </c>
      <c r="C469" s="90" t="s">
        <v>281</v>
      </c>
      <c r="D469" s="200" t="s">
        <v>163</v>
      </c>
    </row>
    <row r="470" spans="2:4" ht="12.75" hidden="1" outlineLevel="1">
      <c r="B470" s="91" t="s">
        <v>334</v>
      </c>
      <c r="C470" s="90" t="s">
        <v>350</v>
      </c>
      <c r="D470" s="200" t="s">
        <v>164</v>
      </c>
    </row>
    <row r="471" spans="2:4" ht="12.75" hidden="1" outlineLevel="1">
      <c r="B471" s="91" t="s">
        <v>335</v>
      </c>
      <c r="C471" s="90" t="s">
        <v>283</v>
      </c>
      <c r="D471" s="200" t="s">
        <v>164</v>
      </c>
    </row>
    <row r="472" spans="2:4" ht="12.75" hidden="1" outlineLevel="1">
      <c r="B472" s="91" t="s">
        <v>152</v>
      </c>
      <c r="C472" s="90" t="s">
        <v>408</v>
      </c>
      <c r="D472" s="200" t="s">
        <v>164</v>
      </c>
    </row>
    <row r="473" spans="2:4" ht="12.75" hidden="1" outlineLevel="1">
      <c r="B473" s="91" t="s">
        <v>155</v>
      </c>
      <c r="C473" s="90" t="s">
        <v>279</v>
      </c>
      <c r="D473" s="200" t="s">
        <v>164</v>
      </c>
    </row>
    <row r="474" spans="2:4" ht="12.75" hidden="1" outlineLevel="1">
      <c r="B474" s="91" t="s">
        <v>156</v>
      </c>
      <c r="C474" s="90" t="s">
        <v>288</v>
      </c>
      <c r="D474" s="200" t="s">
        <v>164</v>
      </c>
    </row>
    <row r="475" ht="12.75" collapsed="1"/>
    <row r="476" s="106" customFormat="1" ht="12.75">
      <c r="B476" s="106" t="str">
        <f>+CONCATENATE("Yes"," = ",COUNTIF(D445:D474,"Yes"),CONCATENATE("  (",TEXT(COUNTIF(D445:D474,"Yes")/ROWS(D445:D474),"#%"),")"))</f>
        <v>Yes = 19  (63%)</v>
      </c>
    </row>
    <row r="477" s="106" customFormat="1" ht="12.75">
      <c r="B477" s="106" t="str">
        <f>+CONCATENATE("No"," = ",COUNTIF(D445:D474,"No"),CONCATENATE("  (",TEXT(COUNTIF(D445:D474,"No")/ROWS(D445:D474),"#%"),")"))</f>
        <v>No = 11  (37%)</v>
      </c>
    </row>
    <row r="478" s="106" customFormat="1" ht="12.75"/>
    <row r="479" s="106" customFormat="1" ht="12.75">
      <c r="C479" s="216" t="s">
        <v>1323</v>
      </c>
    </row>
    <row r="480" ht="12.75">
      <c r="C480" s="90" t="s">
        <v>1708</v>
      </c>
    </row>
    <row r="481" ht="12.75" hidden="1" outlineLevel="1"/>
    <row r="482" spans="3:11" ht="12.75" hidden="1" outlineLevel="1">
      <c r="C482" s="106">
        <v>2011</v>
      </c>
      <c r="D482" s="106">
        <v>2014</v>
      </c>
      <c r="E482" s="278" t="s">
        <v>1322</v>
      </c>
      <c r="F482" s="278"/>
      <c r="G482" s="96"/>
      <c r="H482" s="96"/>
      <c r="I482" s="96" t="s">
        <v>1508</v>
      </c>
      <c r="J482" s="96">
        <v>20.11</v>
      </c>
      <c r="K482" s="96">
        <v>20.14</v>
      </c>
    </row>
    <row r="483" spans="3:11" ht="12.75" hidden="1" outlineLevel="1">
      <c r="C483" s="147" t="str">
        <f>CONCATENATE("Yes"," = ",I483,CONCATENATE("    (",TEXT(I483/($H$653+$H$652),"#%"),")"))</f>
        <v>Yes = 9    (33%)</v>
      </c>
      <c r="D483" s="147" t="str">
        <f>B476</f>
        <v>Yes = 19  (63%)</v>
      </c>
      <c r="E483" s="189">
        <f>K483-J483</f>
        <v>0.3</v>
      </c>
      <c r="F483" s="147"/>
      <c r="G483" s="96"/>
      <c r="H483" s="96" t="s">
        <v>163</v>
      </c>
      <c r="I483" s="96">
        <v>9</v>
      </c>
      <c r="J483" s="96">
        <f>(I483/(I483+I484))</f>
        <v>0.3333333333333333</v>
      </c>
      <c r="K483" s="96">
        <f>(COUNTIF(D445:D474,"Yes")/ROWS(D445:D474))</f>
        <v>0.6333333333333333</v>
      </c>
    </row>
    <row r="484" spans="3:11" ht="12.75" hidden="1" outlineLevel="1">
      <c r="C484" s="147" t="str">
        <f>CONCATENATE("No","   = ",I484,CONCATENATE("    (",TEXT(I484/($H$653+$H$652),"#%"),")"))</f>
        <v>No   = 18    (67%)</v>
      </c>
      <c r="D484" s="147" t="str">
        <f>B477</f>
        <v>No = 11  (37%)</v>
      </c>
      <c r="E484" s="189">
        <f>K484-J484</f>
        <v>-0.29999999999999993</v>
      </c>
      <c r="F484" s="147"/>
      <c r="G484" s="96"/>
      <c r="H484" s="96" t="s">
        <v>164</v>
      </c>
      <c r="I484" s="96">
        <v>18</v>
      </c>
      <c r="J484" s="96">
        <f>(I484/(I483+I484))</f>
        <v>0.6666666666666666</v>
      </c>
      <c r="K484" s="96">
        <f>1-K483</f>
        <v>0.3666666666666667</v>
      </c>
    </row>
    <row r="485" ht="12.75" collapsed="1"/>
    <row r="486" spans="1:2" s="119" customFormat="1" ht="15">
      <c r="A486" s="117">
        <v>12</v>
      </c>
      <c r="B486" s="119" t="s">
        <v>108</v>
      </c>
    </row>
    <row r="487" spans="2:4" s="130" customFormat="1" ht="12.75" hidden="1" outlineLevel="1">
      <c r="B487" s="185" t="s">
        <v>324</v>
      </c>
      <c r="C487" s="185" t="s">
        <v>189</v>
      </c>
      <c r="D487" s="201" t="s">
        <v>1372</v>
      </c>
    </row>
    <row r="488" spans="2:4" ht="12.75" hidden="1" outlineLevel="1">
      <c r="B488" s="91" t="s">
        <v>153</v>
      </c>
      <c r="C488" s="90" t="s">
        <v>446</v>
      </c>
      <c r="D488" s="200" t="s">
        <v>163</v>
      </c>
    </row>
    <row r="489" spans="2:4" ht="12.75" hidden="1" outlineLevel="1">
      <c r="B489" s="91" t="s">
        <v>154</v>
      </c>
      <c r="C489" s="90" t="s">
        <v>342</v>
      </c>
      <c r="D489" s="200" t="s">
        <v>164</v>
      </c>
    </row>
    <row r="490" spans="2:4" ht="12.75" hidden="1" outlineLevel="1">
      <c r="B490" s="91" t="s">
        <v>334</v>
      </c>
      <c r="C490" s="90" t="s">
        <v>350</v>
      </c>
      <c r="D490" s="200" t="s">
        <v>163</v>
      </c>
    </row>
    <row r="491" spans="2:4" ht="12.75" hidden="1" outlineLevel="1">
      <c r="B491" s="91" t="s">
        <v>152</v>
      </c>
      <c r="C491" s="90" t="s">
        <v>408</v>
      </c>
      <c r="D491" s="200" t="s">
        <v>163</v>
      </c>
    </row>
    <row r="492" spans="2:4" ht="12.75" hidden="1" outlineLevel="1">
      <c r="B492" s="91" t="s">
        <v>147</v>
      </c>
      <c r="C492" s="90" t="s">
        <v>353</v>
      </c>
      <c r="D492" s="200" t="s">
        <v>163</v>
      </c>
    </row>
    <row r="493" spans="2:4" ht="12.75" hidden="1" outlineLevel="1">
      <c r="B493" s="91" t="s">
        <v>140</v>
      </c>
      <c r="C493" s="90" t="s">
        <v>341</v>
      </c>
      <c r="D493" s="147" t="s">
        <v>164</v>
      </c>
    </row>
    <row r="494" spans="2:4" ht="12.75" hidden="1" outlineLevel="1">
      <c r="B494" s="91" t="s">
        <v>332</v>
      </c>
      <c r="C494" s="90" t="s">
        <v>554</v>
      </c>
      <c r="D494" s="200" t="s">
        <v>164</v>
      </c>
    </row>
    <row r="495" spans="2:4" ht="12.75" hidden="1" outlineLevel="1">
      <c r="B495" s="91" t="s">
        <v>332</v>
      </c>
      <c r="C495" s="90" t="s">
        <v>436</v>
      </c>
      <c r="D495" s="147" t="s">
        <v>164</v>
      </c>
    </row>
    <row r="496" spans="2:11" ht="12.75" hidden="1" outlineLevel="1">
      <c r="B496" s="91" t="s">
        <v>332</v>
      </c>
      <c r="C496" s="90" t="s">
        <v>286</v>
      </c>
      <c r="D496" s="200" t="s">
        <v>164</v>
      </c>
      <c r="H496" s="96"/>
      <c r="I496" s="96"/>
      <c r="J496" s="96"/>
      <c r="K496" s="96"/>
    </row>
    <row r="497" spans="2:11" ht="12.75" hidden="1" outlineLevel="1">
      <c r="B497" s="91" t="s">
        <v>141</v>
      </c>
      <c r="C497" s="90" t="s">
        <v>445</v>
      </c>
      <c r="D497" s="147" t="s">
        <v>164</v>
      </c>
      <c r="H497" s="96"/>
      <c r="I497" s="96"/>
      <c r="J497" s="96"/>
      <c r="K497" s="96"/>
    </row>
    <row r="498" spans="2:11" ht="12.75" hidden="1" outlineLevel="1">
      <c r="B498" s="91" t="s">
        <v>146</v>
      </c>
      <c r="C498" s="90" t="s">
        <v>349</v>
      </c>
      <c r="D498" s="200" t="s">
        <v>164</v>
      </c>
      <c r="H498" s="96"/>
      <c r="I498" s="96"/>
      <c r="J498" s="96"/>
      <c r="K498" s="96"/>
    </row>
    <row r="499" spans="2:11" ht="12.75" hidden="1" outlineLevel="1">
      <c r="B499" s="91" t="s">
        <v>146</v>
      </c>
      <c r="C499" s="90" t="s">
        <v>550</v>
      </c>
      <c r="D499" s="200" t="s">
        <v>164</v>
      </c>
      <c r="H499" s="96"/>
      <c r="I499" s="96"/>
      <c r="J499" s="96"/>
      <c r="K499" s="96"/>
    </row>
    <row r="500" spans="2:4" ht="12.75" hidden="1" outlineLevel="1">
      <c r="B500" s="91" t="s">
        <v>142</v>
      </c>
      <c r="C500" s="90" t="s">
        <v>343</v>
      </c>
      <c r="D500" s="200" t="s">
        <v>164</v>
      </c>
    </row>
    <row r="501" spans="2:4" ht="12.75" hidden="1" outlineLevel="1">
      <c r="B501" s="91" t="s">
        <v>143</v>
      </c>
      <c r="C501" s="90" t="s">
        <v>437</v>
      </c>
      <c r="D501" s="200" t="s">
        <v>164</v>
      </c>
    </row>
    <row r="502" spans="2:4" ht="12.75" hidden="1" outlineLevel="1">
      <c r="B502" s="91" t="s">
        <v>143</v>
      </c>
      <c r="C502" s="90" t="s">
        <v>287</v>
      </c>
      <c r="D502" s="200" t="s">
        <v>431</v>
      </c>
    </row>
    <row r="503" spans="2:4" ht="12.75" hidden="1" outlineLevel="1">
      <c r="B503" s="91" t="s">
        <v>144</v>
      </c>
      <c r="C503" s="90" t="s">
        <v>438</v>
      </c>
      <c r="D503" s="200" t="s">
        <v>164</v>
      </c>
    </row>
    <row r="504" spans="2:4" ht="12.75" hidden="1" outlineLevel="1">
      <c r="B504" s="91" t="s">
        <v>153</v>
      </c>
      <c r="C504" s="90" t="s">
        <v>444</v>
      </c>
      <c r="D504" s="147" t="s">
        <v>164</v>
      </c>
    </row>
    <row r="505" spans="2:4" ht="12.75" hidden="1" outlineLevel="1">
      <c r="B505" s="91" t="s">
        <v>139</v>
      </c>
      <c r="C505" s="90" t="s">
        <v>551</v>
      </c>
      <c r="D505" s="200" t="s">
        <v>164</v>
      </c>
    </row>
    <row r="506" spans="2:4" ht="12.75" hidden="1" outlineLevel="1">
      <c r="B506" s="91" t="s">
        <v>148</v>
      </c>
      <c r="C506" s="90" t="s">
        <v>552</v>
      </c>
      <c r="D506" s="147" t="s">
        <v>164</v>
      </c>
    </row>
    <row r="507" spans="2:4" ht="12.75" hidden="1" outlineLevel="1">
      <c r="B507" s="91" t="s">
        <v>154</v>
      </c>
      <c r="C507" s="90" t="s">
        <v>352</v>
      </c>
      <c r="D507" s="200" t="s">
        <v>164</v>
      </c>
    </row>
    <row r="508" spans="2:4" ht="12.75" hidden="1" outlineLevel="1">
      <c r="B508" s="91" t="s">
        <v>336</v>
      </c>
      <c r="C508" s="90" t="s">
        <v>281</v>
      </c>
      <c r="D508" s="147" t="s">
        <v>164</v>
      </c>
    </row>
    <row r="509" spans="2:4" ht="12.75" hidden="1" outlineLevel="1">
      <c r="B509" s="91" t="s">
        <v>145</v>
      </c>
      <c r="C509" s="90" t="s">
        <v>439</v>
      </c>
      <c r="D509" s="147" t="s">
        <v>164</v>
      </c>
    </row>
    <row r="510" spans="2:4" ht="12.75" hidden="1" outlineLevel="1">
      <c r="B510" s="91" t="s">
        <v>335</v>
      </c>
      <c r="C510" s="90" t="s">
        <v>283</v>
      </c>
      <c r="D510" s="147" t="s">
        <v>164</v>
      </c>
    </row>
    <row r="511" spans="2:11" ht="12.75" hidden="1" outlineLevel="1">
      <c r="B511" s="91" t="s">
        <v>149</v>
      </c>
      <c r="C511" s="90" t="s">
        <v>277</v>
      </c>
      <c r="D511" s="147" t="s">
        <v>164</v>
      </c>
      <c r="H511" s="96"/>
      <c r="I511" s="96"/>
      <c r="J511" s="96"/>
      <c r="K511" s="96"/>
    </row>
    <row r="512" spans="2:11" ht="12.75" hidden="1" outlineLevel="1">
      <c r="B512" s="91" t="s">
        <v>150</v>
      </c>
      <c r="C512" s="90" t="s">
        <v>278</v>
      </c>
      <c r="D512" s="147" t="s">
        <v>164</v>
      </c>
      <c r="H512" s="96"/>
      <c r="I512" s="96"/>
      <c r="J512" s="96"/>
      <c r="K512" s="96"/>
    </row>
    <row r="513" spans="2:11" ht="12.75" hidden="1" outlineLevel="1">
      <c r="B513" s="91" t="s">
        <v>155</v>
      </c>
      <c r="C513" s="90" t="s">
        <v>351</v>
      </c>
      <c r="D513" s="200" t="s">
        <v>164</v>
      </c>
      <c r="H513" s="96"/>
      <c r="I513" s="96"/>
      <c r="J513" s="96"/>
      <c r="K513" s="96"/>
    </row>
    <row r="514" spans="2:11" ht="12.75" hidden="1" outlineLevel="1">
      <c r="B514" s="91" t="s">
        <v>155</v>
      </c>
      <c r="C514" s="90" t="s">
        <v>279</v>
      </c>
      <c r="D514" s="200" t="s">
        <v>164</v>
      </c>
      <c r="H514" s="96"/>
      <c r="I514" s="96"/>
      <c r="J514" s="96"/>
      <c r="K514" s="96"/>
    </row>
    <row r="515" spans="2:4" ht="12.75" hidden="1" outlineLevel="1">
      <c r="B515" s="91" t="s">
        <v>151</v>
      </c>
      <c r="C515" s="90" t="s">
        <v>282</v>
      </c>
      <c r="D515" s="147" t="s">
        <v>164</v>
      </c>
    </row>
    <row r="516" spans="2:4" ht="12.75" hidden="1" outlineLevel="1">
      <c r="B516" s="91" t="s">
        <v>337</v>
      </c>
      <c r="C516" s="90" t="s">
        <v>553</v>
      </c>
      <c r="D516" s="147" t="s">
        <v>164</v>
      </c>
    </row>
    <row r="517" spans="2:4" ht="12.75" hidden="1" outlineLevel="1">
      <c r="B517" s="91" t="s">
        <v>156</v>
      </c>
      <c r="C517" s="90" t="s">
        <v>288</v>
      </c>
      <c r="D517" s="147" t="s">
        <v>164</v>
      </c>
    </row>
    <row r="518" ht="12.75" collapsed="1"/>
    <row r="519" s="106" customFormat="1" ht="12.75">
      <c r="B519" s="106" t="str">
        <f>+CONCATENATE("Yes"," = ",COUNTIF(D488:D517,"Yes"),CONCATENATE("  (",TEXT(COUNTIF(D488:D517,"Yes")/ROWS(D488:D517),"#%"),")"))</f>
        <v>Yes = 4  (13%)</v>
      </c>
    </row>
    <row r="520" s="106" customFormat="1" ht="12.75">
      <c r="B520" s="106" t="str">
        <f>+CONCATENATE("No"," = ",COUNTIF(D488:D517,"No"),CONCATENATE("  (",TEXT(COUNTIF(D488:D517,"No")/ROWS(D488:D517),"#%"),")"))</f>
        <v>No = 26  (87%)</v>
      </c>
    </row>
    <row r="521" s="106" customFormat="1" ht="12.75"/>
    <row r="522" s="106" customFormat="1" ht="12.75">
      <c r="C522" s="216" t="s">
        <v>1323</v>
      </c>
    </row>
    <row r="523" ht="12.75">
      <c r="C523" s="90" t="s">
        <v>1709</v>
      </c>
    </row>
    <row r="524" spans="8:12" ht="12.75" hidden="1" outlineLevel="1">
      <c r="H524" s="96"/>
      <c r="I524" s="96"/>
      <c r="J524" s="96"/>
      <c r="K524" s="96"/>
      <c r="L524" s="96"/>
    </row>
    <row r="525" spans="3:12" ht="12.75" hidden="1" outlineLevel="1">
      <c r="C525" s="106">
        <v>2011</v>
      </c>
      <c r="D525" s="106">
        <v>2014</v>
      </c>
      <c r="E525" s="278" t="s">
        <v>1322</v>
      </c>
      <c r="F525" s="278"/>
      <c r="H525" s="96"/>
      <c r="I525" s="96" t="s">
        <v>1508</v>
      </c>
      <c r="J525" s="96">
        <v>20.11</v>
      </c>
      <c r="K525" s="96">
        <v>20.14</v>
      </c>
      <c r="L525" s="96"/>
    </row>
    <row r="526" spans="3:12" ht="12.75" hidden="1" outlineLevel="1">
      <c r="C526" s="147" t="str">
        <f>CONCATENATE("Yes"," = ",I526,CONCATENATE("    (",TEXT(I526/($H$653+$H$652),"#%"),")"))</f>
        <v>Yes = 4    (15%)</v>
      </c>
      <c r="D526" s="147" t="str">
        <f>B519</f>
        <v>Yes = 4  (13%)</v>
      </c>
      <c r="E526" s="189">
        <f>K526-J526</f>
        <v>-0.014814814814814808</v>
      </c>
      <c r="F526" s="147"/>
      <c r="H526" s="96" t="s">
        <v>163</v>
      </c>
      <c r="I526" s="96">
        <v>4</v>
      </c>
      <c r="J526" s="96">
        <f>(I526/(I526+I527))</f>
        <v>0.14814814814814814</v>
      </c>
      <c r="K526" s="96">
        <f>(COUNTIF(D488:D517,"Yes")/ROWS(D488:D517))</f>
        <v>0.13333333333333333</v>
      </c>
      <c r="L526" s="96"/>
    </row>
    <row r="527" spans="3:12" ht="12.75" hidden="1" outlineLevel="1">
      <c r="C527" s="147" t="str">
        <f>CONCATENATE("No","   = ",I527,CONCATENATE("    (",TEXT(I527/($H$653+$H$652),"#%"),")"))</f>
        <v>No   = 23    (85%)</v>
      </c>
      <c r="D527" s="147" t="str">
        <f>B520</f>
        <v>No = 26  (87%)</v>
      </c>
      <c r="E527" s="189">
        <f>K527-J527</f>
        <v>0.014814814814814836</v>
      </c>
      <c r="F527" s="147"/>
      <c r="H527" s="96" t="s">
        <v>164</v>
      </c>
      <c r="I527" s="96">
        <v>23</v>
      </c>
      <c r="J527" s="96">
        <f>(I527/(I526+I527))</f>
        <v>0.8518518518518519</v>
      </c>
      <c r="K527" s="96">
        <f>1-K526</f>
        <v>0.8666666666666667</v>
      </c>
      <c r="L527" s="96"/>
    </row>
    <row r="528" spans="8:12" ht="12.75" collapsed="1">
      <c r="H528" s="96"/>
      <c r="I528" s="96"/>
      <c r="J528" s="96"/>
      <c r="K528" s="96"/>
      <c r="L528" s="96"/>
    </row>
    <row r="529" spans="1:2" s="119" customFormat="1" ht="15">
      <c r="A529" s="117">
        <v>13</v>
      </c>
      <c r="B529" s="119" t="s">
        <v>109</v>
      </c>
    </row>
    <row r="530" spans="2:4" s="130" customFormat="1" ht="12.75" hidden="1" outlineLevel="1">
      <c r="B530" s="185" t="s">
        <v>324</v>
      </c>
      <c r="C530" s="185" t="s">
        <v>189</v>
      </c>
      <c r="D530" s="201" t="s">
        <v>1373</v>
      </c>
    </row>
    <row r="531" spans="2:4" ht="12.75" hidden="1" outlineLevel="1">
      <c r="B531" s="91" t="s">
        <v>140</v>
      </c>
      <c r="C531" s="90" t="s">
        <v>341</v>
      </c>
      <c r="D531" s="147" t="s">
        <v>163</v>
      </c>
    </row>
    <row r="532" spans="2:4" ht="12.75" hidden="1" outlineLevel="1">
      <c r="B532" s="91" t="s">
        <v>141</v>
      </c>
      <c r="C532" s="90" t="s">
        <v>445</v>
      </c>
      <c r="D532" s="200" t="s">
        <v>163</v>
      </c>
    </row>
    <row r="533" spans="2:4" ht="12.75" hidden="1" outlineLevel="1">
      <c r="B533" s="91" t="s">
        <v>144</v>
      </c>
      <c r="C533" s="90" t="s">
        <v>438</v>
      </c>
      <c r="D533" s="200" t="s">
        <v>163</v>
      </c>
    </row>
    <row r="534" spans="2:4" ht="12.75" hidden="1" outlineLevel="1">
      <c r="B534" s="91" t="s">
        <v>153</v>
      </c>
      <c r="C534" s="90" t="s">
        <v>446</v>
      </c>
      <c r="D534" s="200" t="s">
        <v>163</v>
      </c>
    </row>
    <row r="535" spans="2:4" ht="12.75" hidden="1" outlineLevel="1">
      <c r="B535" s="91" t="s">
        <v>139</v>
      </c>
      <c r="C535" s="90" t="s">
        <v>551</v>
      </c>
      <c r="D535" s="200" t="s">
        <v>163</v>
      </c>
    </row>
    <row r="536" spans="2:4" ht="12.75" hidden="1" outlineLevel="1">
      <c r="B536" s="91" t="s">
        <v>145</v>
      </c>
      <c r="C536" s="90" t="s">
        <v>439</v>
      </c>
      <c r="D536" s="200" t="s">
        <v>163</v>
      </c>
    </row>
    <row r="537" spans="2:4" ht="12.75" hidden="1" outlineLevel="1">
      <c r="B537" s="91" t="s">
        <v>149</v>
      </c>
      <c r="C537" s="90" t="s">
        <v>277</v>
      </c>
      <c r="D537" s="200" t="s">
        <v>163</v>
      </c>
    </row>
    <row r="538" spans="2:4" ht="12.75" hidden="1" outlineLevel="1">
      <c r="B538" s="91" t="s">
        <v>150</v>
      </c>
      <c r="C538" s="90" t="s">
        <v>278</v>
      </c>
      <c r="D538" s="200" t="s">
        <v>163</v>
      </c>
    </row>
    <row r="539" spans="2:11" ht="12.75" hidden="1" outlineLevel="1">
      <c r="B539" s="91" t="s">
        <v>155</v>
      </c>
      <c r="C539" s="90" t="s">
        <v>351</v>
      </c>
      <c r="D539" s="200" t="s">
        <v>163</v>
      </c>
      <c r="H539" s="96"/>
      <c r="I539" s="96"/>
      <c r="J539" s="96"/>
      <c r="K539" s="96"/>
    </row>
    <row r="540" spans="2:11" ht="12.75" hidden="1" outlineLevel="1">
      <c r="B540" s="91" t="s">
        <v>155</v>
      </c>
      <c r="C540" s="90" t="s">
        <v>279</v>
      </c>
      <c r="D540" s="200" t="s">
        <v>163</v>
      </c>
      <c r="H540" s="96"/>
      <c r="I540" s="96"/>
      <c r="J540" s="96"/>
      <c r="K540" s="96"/>
    </row>
    <row r="541" spans="2:11" ht="12.75" hidden="1" outlineLevel="1">
      <c r="B541" s="91" t="s">
        <v>147</v>
      </c>
      <c r="C541" s="90" t="s">
        <v>353</v>
      </c>
      <c r="D541" s="200" t="s">
        <v>163</v>
      </c>
      <c r="H541" s="96"/>
      <c r="I541" s="96"/>
      <c r="J541" s="96"/>
      <c r="K541" s="96"/>
    </row>
    <row r="542" spans="2:11" ht="12.75" hidden="1" outlineLevel="1">
      <c r="B542" s="91" t="s">
        <v>151</v>
      </c>
      <c r="C542" s="90" t="s">
        <v>282</v>
      </c>
      <c r="D542" s="200" t="s">
        <v>163</v>
      </c>
      <c r="H542" s="96"/>
      <c r="I542" s="96"/>
      <c r="J542" s="96"/>
      <c r="K542" s="96"/>
    </row>
    <row r="543" spans="2:4" ht="12.75" hidden="1" outlineLevel="1">
      <c r="B543" s="91" t="s">
        <v>337</v>
      </c>
      <c r="C543" s="90" t="s">
        <v>553</v>
      </c>
      <c r="D543" s="200" t="s">
        <v>163</v>
      </c>
    </row>
    <row r="544" spans="2:4" ht="12.75" hidden="1" outlineLevel="1">
      <c r="B544" s="91" t="s">
        <v>332</v>
      </c>
      <c r="C544" s="90" t="s">
        <v>554</v>
      </c>
      <c r="D544" s="200" t="s">
        <v>164</v>
      </c>
    </row>
    <row r="545" spans="2:4" ht="12.75" hidden="1" outlineLevel="1">
      <c r="B545" s="91" t="s">
        <v>332</v>
      </c>
      <c r="C545" s="90" t="s">
        <v>436</v>
      </c>
      <c r="D545" s="200" t="s">
        <v>164</v>
      </c>
    </row>
    <row r="546" spans="2:4" ht="12.75" hidden="1" outlineLevel="1">
      <c r="B546" s="91" t="s">
        <v>332</v>
      </c>
      <c r="C546" s="90" t="s">
        <v>286</v>
      </c>
      <c r="D546" s="200" t="s">
        <v>164</v>
      </c>
    </row>
    <row r="547" spans="2:4" ht="12.75" hidden="1" outlineLevel="1">
      <c r="B547" s="91" t="s">
        <v>146</v>
      </c>
      <c r="C547" s="90" t="s">
        <v>349</v>
      </c>
      <c r="D547" s="200" t="s">
        <v>164</v>
      </c>
    </row>
    <row r="548" spans="2:4" ht="12.75" hidden="1" outlineLevel="1">
      <c r="B548" s="91" t="s">
        <v>146</v>
      </c>
      <c r="C548" s="90" t="s">
        <v>550</v>
      </c>
      <c r="D548" s="200" t="s">
        <v>163</v>
      </c>
    </row>
    <row r="549" spans="2:4" ht="12.75" hidden="1" outlineLevel="1">
      <c r="B549" s="91" t="s">
        <v>142</v>
      </c>
      <c r="C549" s="90" t="s">
        <v>343</v>
      </c>
      <c r="D549" s="200" t="s">
        <v>164</v>
      </c>
    </row>
    <row r="550" spans="2:4" ht="12.75" hidden="1" outlineLevel="1">
      <c r="B550" s="91" t="s">
        <v>143</v>
      </c>
      <c r="C550" s="90" t="s">
        <v>437</v>
      </c>
      <c r="D550" s="200" t="s">
        <v>164</v>
      </c>
    </row>
    <row r="551" spans="2:4" ht="12.75" hidden="1" outlineLevel="1">
      <c r="B551" s="91" t="s">
        <v>143</v>
      </c>
      <c r="C551" s="90" t="s">
        <v>287</v>
      </c>
      <c r="D551" s="200" t="s">
        <v>164</v>
      </c>
    </row>
    <row r="552" spans="2:4" ht="12.75" hidden="1" outlineLevel="1">
      <c r="B552" s="91" t="s">
        <v>153</v>
      </c>
      <c r="C552" s="90" t="s">
        <v>444</v>
      </c>
      <c r="D552" s="200" t="s">
        <v>164</v>
      </c>
    </row>
    <row r="553" spans="2:4" ht="12.75" hidden="1" outlineLevel="1">
      <c r="B553" s="91" t="s">
        <v>148</v>
      </c>
      <c r="C553" s="90" t="s">
        <v>552</v>
      </c>
      <c r="D553" s="200" t="s">
        <v>164</v>
      </c>
    </row>
    <row r="554" spans="2:4" ht="12.75" hidden="1" outlineLevel="1">
      <c r="B554" s="91" t="s">
        <v>154</v>
      </c>
      <c r="C554" s="90" t="s">
        <v>352</v>
      </c>
      <c r="D554" s="200" t="s">
        <v>164</v>
      </c>
    </row>
    <row r="555" spans="2:4" ht="12.75" hidden="1" outlineLevel="1">
      <c r="B555" s="91" t="s">
        <v>154</v>
      </c>
      <c r="C555" s="90" t="s">
        <v>342</v>
      </c>
      <c r="D555" s="200" t="s">
        <v>164</v>
      </c>
    </row>
    <row r="556" spans="2:4" ht="12.75" hidden="1" outlineLevel="1">
      <c r="B556" s="91" t="s">
        <v>336</v>
      </c>
      <c r="C556" s="90" t="s">
        <v>281</v>
      </c>
      <c r="D556" s="200" t="s">
        <v>164</v>
      </c>
    </row>
    <row r="557" spans="2:4" ht="12.75" hidden="1" outlineLevel="1">
      <c r="B557" s="91" t="s">
        <v>334</v>
      </c>
      <c r="C557" s="90" t="s">
        <v>350</v>
      </c>
      <c r="D557" s="200" t="s">
        <v>164</v>
      </c>
    </row>
    <row r="558" spans="2:4" ht="12.75" hidden="1" outlineLevel="1">
      <c r="B558" s="91" t="s">
        <v>335</v>
      </c>
      <c r="C558" s="90" t="s">
        <v>283</v>
      </c>
      <c r="D558" s="200" t="s">
        <v>164</v>
      </c>
    </row>
    <row r="559" spans="2:4" ht="12.75" hidden="1" outlineLevel="1">
      <c r="B559" s="91" t="s">
        <v>152</v>
      </c>
      <c r="C559" s="90" t="s">
        <v>408</v>
      </c>
      <c r="D559" s="200" t="s">
        <v>164</v>
      </c>
    </row>
    <row r="560" spans="2:4" ht="12.75" hidden="1" outlineLevel="1">
      <c r="B560" s="91" t="s">
        <v>156</v>
      </c>
      <c r="C560" s="90" t="s">
        <v>288</v>
      </c>
      <c r="D560" s="200" t="s">
        <v>164</v>
      </c>
    </row>
    <row r="561" spans="2:4" ht="12.75" collapsed="1">
      <c r="B561" s="91"/>
      <c r="D561" s="89"/>
    </row>
    <row r="562" s="107" customFormat="1" ht="12.75">
      <c r="B562" s="107" t="str">
        <f>+CONCATENATE("Yes"," = ",COUNTIF(D531:D560,"Yes"),CONCATENATE("  (",TEXT(COUNTIF(D531:D560,"Yes")/ROWS(D531:D560),"#%"),")"))</f>
        <v>Yes = 14  (47%)</v>
      </c>
    </row>
    <row r="563" s="107" customFormat="1" ht="12.75">
      <c r="B563" s="107" t="str">
        <f>+CONCATENATE("No"," = ",COUNTIF(D531:D560,"No"),CONCATENATE("  (",TEXT(COUNTIF(D531:D560,"No")/ROWS(D531:D560),"#%"),")"))</f>
        <v>No = 16  (53%)</v>
      </c>
    </row>
    <row r="564" s="107" customFormat="1" ht="12.75"/>
    <row r="565" s="107" customFormat="1" ht="12.75">
      <c r="C565" s="139" t="s">
        <v>1323</v>
      </c>
    </row>
    <row r="566" ht="12.75">
      <c r="C566" s="90" t="s">
        <v>1712</v>
      </c>
    </row>
    <row r="567" spans="8:11" ht="12.75" hidden="1" outlineLevel="1">
      <c r="H567" s="96"/>
      <c r="I567" s="96"/>
      <c r="J567" s="96"/>
      <c r="K567" s="96"/>
    </row>
    <row r="568" spans="3:11" ht="12.75" hidden="1" outlineLevel="1">
      <c r="C568" s="106">
        <v>2011</v>
      </c>
      <c r="D568" s="106">
        <v>2014</v>
      </c>
      <c r="E568" s="278" t="s">
        <v>1322</v>
      </c>
      <c r="F568" s="278"/>
      <c r="H568" s="96"/>
      <c r="I568" s="96" t="s">
        <v>1508</v>
      </c>
      <c r="J568" s="96">
        <v>20.11</v>
      </c>
      <c r="K568" s="96">
        <v>20.14</v>
      </c>
    </row>
    <row r="569" spans="3:11" ht="12.75" hidden="1" outlineLevel="1">
      <c r="C569" s="147" t="str">
        <f>CONCATENATE("Yes"," = ",I569,CONCATENATE("    (",TEXT(I569/($H$653+$H$652),"#%"),")"))</f>
        <v>Yes = 11    (41%)</v>
      </c>
      <c r="D569" s="147" t="str">
        <f>B562</f>
        <v>Yes = 14  (47%)</v>
      </c>
      <c r="E569" s="256">
        <f>K569-J569</f>
        <v>0.028535980148883366</v>
      </c>
      <c r="F569" s="147"/>
      <c r="H569" s="96" t="s">
        <v>163</v>
      </c>
      <c r="I569" s="96">
        <v>11</v>
      </c>
      <c r="J569" s="96">
        <f>(I569/(I569+I570))</f>
        <v>0.4230769230769231</v>
      </c>
      <c r="K569" s="96">
        <f>(COUNTIF(D530:D560,"Yes")/ROWS(D530:D560))</f>
        <v>0.45161290322580644</v>
      </c>
    </row>
    <row r="570" spans="3:11" ht="12.75" hidden="1" outlineLevel="1">
      <c r="C570" s="147" t="str">
        <f>CONCATENATE("No","   = ",I570,CONCATENATE("    (",TEXT(I570/($H$653+$H$652),"#%"),")"))</f>
        <v>No   = 15    (56%)</v>
      </c>
      <c r="D570" s="147" t="str">
        <f>B563</f>
        <v>No = 16  (53%)</v>
      </c>
      <c r="E570" s="256">
        <f>K570-J570</f>
        <v>-0.028535980148883366</v>
      </c>
      <c r="F570" s="147"/>
      <c r="H570" s="96" t="s">
        <v>164</v>
      </c>
      <c r="I570" s="96">
        <v>15</v>
      </c>
      <c r="J570" s="96">
        <f>(I570/(I569+I570))</f>
        <v>0.5769230769230769</v>
      </c>
      <c r="K570" s="96">
        <f>1-K569</f>
        <v>0.5483870967741935</v>
      </c>
    </row>
    <row r="571" ht="12.75" collapsed="1"/>
    <row r="572" spans="1:4" s="119" customFormat="1" ht="15">
      <c r="A572" s="236">
        <v>14</v>
      </c>
      <c r="B572" s="236" t="s">
        <v>469</v>
      </c>
      <c r="C572" s="118"/>
      <c r="D572" s="236"/>
    </row>
    <row r="573" spans="2:4" s="130" customFormat="1" ht="14.25" hidden="1" outlineLevel="1">
      <c r="B573" s="185" t="s">
        <v>324</v>
      </c>
      <c r="C573" s="185" t="s">
        <v>189</v>
      </c>
      <c r="D573" s="260" t="s">
        <v>1374</v>
      </c>
    </row>
    <row r="574" spans="2:4" ht="12.75" hidden="1" outlineLevel="1">
      <c r="B574" s="91" t="s">
        <v>139</v>
      </c>
      <c r="C574" s="90" t="s">
        <v>551</v>
      </c>
      <c r="D574" s="200" t="s">
        <v>163</v>
      </c>
    </row>
    <row r="575" spans="2:4" ht="12.75" hidden="1" outlineLevel="1">
      <c r="B575" s="91" t="s">
        <v>148</v>
      </c>
      <c r="C575" s="90" t="s">
        <v>552</v>
      </c>
      <c r="D575" s="200" t="s">
        <v>163</v>
      </c>
    </row>
    <row r="576" spans="2:4" ht="12.75" hidden="1" outlineLevel="1">
      <c r="B576" s="91" t="s">
        <v>145</v>
      </c>
      <c r="C576" s="90" t="s">
        <v>439</v>
      </c>
      <c r="D576" s="200" t="s">
        <v>163</v>
      </c>
    </row>
    <row r="577" spans="2:4" ht="12.75" hidden="1" outlineLevel="1">
      <c r="B577" s="91" t="s">
        <v>152</v>
      </c>
      <c r="C577" s="90" t="s">
        <v>408</v>
      </c>
      <c r="D577" s="200" t="s">
        <v>163</v>
      </c>
    </row>
    <row r="578" spans="2:4" ht="12.75" hidden="1" outlineLevel="1">
      <c r="B578" s="91" t="s">
        <v>149</v>
      </c>
      <c r="C578" s="90" t="s">
        <v>277</v>
      </c>
      <c r="D578" s="200" t="s">
        <v>163</v>
      </c>
    </row>
    <row r="579" spans="2:4" ht="12.75" hidden="1" outlineLevel="1">
      <c r="B579" s="91" t="s">
        <v>156</v>
      </c>
      <c r="C579" s="90" t="s">
        <v>288</v>
      </c>
      <c r="D579" s="200" t="s">
        <v>163</v>
      </c>
    </row>
    <row r="580" spans="2:4" ht="12.75" hidden="1" outlineLevel="1">
      <c r="B580" s="91" t="s">
        <v>140</v>
      </c>
      <c r="C580" s="90" t="s">
        <v>341</v>
      </c>
      <c r="D580" s="200" t="s">
        <v>164</v>
      </c>
    </row>
    <row r="581" spans="2:4" ht="12.75" hidden="1" outlineLevel="1">
      <c r="B581" s="91" t="s">
        <v>332</v>
      </c>
      <c r="C581" s="90" t="s">
        <v>554</v>
      </c>
      <c r="D581" s="200" t="s">
        <v>164</v>
      </c>
    </row>
    <row r="582" spans="2:4" ht="12.75" hidden="1" outlineLevel="1">
      <c r="B582" s="91" t="s">
        <v>332</v>
      </c>
      <c r="C582" s="90" t="s">
        <v>436</v>
      </c>
      <c r="D582" s="200" t="s">
        <v>164</v>
      </c>
    </row>
    <row r="583" spans="2:4" ht="12.75" hidden="1" outlineLevel="1">
      <c r="B583" s="91" t="s">
        <v>332</v>
      </c>
      <c r="C583" s="90" t="s">
        <v>286</v>
      </c>
      <c r="D583" s="200" t="s">
        <v>164</v>
      </c>
    </row>
    <row r="584" spans="2:4" ht="12.75" hidden="1" outlineLevel="1">
      <c r="B584" s="91" t="s">
        <v>141</v>
      </c>
      <c r="C584" s="90" t="s">
        <v>445</v>
      </c>
      <c r="D584" s="200" t="s">
        <v>164</v>
      </c>
    </row>
    <row r="585" spans="2:4" ht="12.75" hidden="1" outlineLevel="1">
      <c r="B585" s="91" t="s">
        <v>146</v>
      </c>
      <c r="C585" s="90" t="s">
        <v>349</v>
      </c>
      <c r="D585" s="200" t="s">
        <v>164</v>
      </c>
    </row>
    <row r="586" spans="2:4" ht="12.75" hidden="1" outlineLevel="1">
      <c r="B586" s="91" t="s">
        <v>146</v>
      </c>
      <c r="C586" s="90" t="s">
        <v>550</v>
      </c>
      <c r="D586" s="200" t="s">
        <v>164</v>
      </c>
    </row>
    <row r="587" spans="2:4" ht="12.75" hidden="1" outlineLevel="1">
      <c r="B587" s="91" t="s">
        <v>142</v>
      </c>
      <c r="C587" s="90" t="s">
        <v>343</v>
      </c>
      <c r="D587" s="200" t="s">
        <v>164</v>
      </c>
    </row>
    <row r="588" spans="2:4" ht="12.75" hidden="1" outlineLevel="1">
      <c r="B588" s="91" t="s">
        <v>143</v>
      </c>
      <c r="C588" s="90" t="s">
        <v>437</v>
      </c>
      <c r="D588" s="200" t="s">
        <v>164</v>
      </c>
    </row>
    <row r="589" spans="2:4" ht="12.75" hidden="1" outlineLevel="1">
      <c r="B589" s="91" t="s">
        <v>143</v>
      </c>
      <c r="C589" s="90" t="s">
        <v>287</v>
      </c>
      <c r="D589" s="200" t="s">
        <v>164</v>
      </c>
    </row>
    <row r="590" spans="2:4" ht="12.75" hidden="1" outlineLevel="1">
      <c r="B590" s="91" t="s">
        <v>144</v>
      </c>
      <c r="C590" s="90" t="s">
        <v>438</v>
      </c>
      <c r="D590" s="200" t="s">
        <v>164</v>
      </c>
    </row>
    <row r="591" spans="2:4" ht="12.75" hidden="1" outlineLevel="1">
      <c r="B591" s="91" t="s">
        <v>153</v>
      </c>
      <c r="C591" s="90" t="s">
        <v>444</v>
      </c>
      <c r="D591" s="200" t="s">
        <v>164</v>
      </c>
    </row>
    <row r="592" spans="2:4" ht="12.75" hidden="1" outlineLevel="1">
      <c r="B592" s="91" t="s">
        <v>153</v>
      </c>
      <c r="C592" s="90" t="s">
        <v>446</v>
      </c>
      <c r="D592" s="200" t="s">
        <v>164</v>
      </c>
    </row>
    <row r="593" spans="2:4" ht="12.75" hidden="1" outlineLevel="1">
      <c r="B593" s="91" t="s">
        <v>154</v>
      </c>
      <c r="C593" s="90" t="s">
        <v>352</v>
      </c>
      <c r="D593" s="200" t="s">
        <v>164</v>
      </c>
    </row>
    <row r="594" spans="2:4" ht="12.75" hidden="1" outlineLevel="1">
      <c r="B594" s="91" t="s">
        <v>154</v>
      </c>
      <c r="C594" s="90" t="s">
        <v>342</v>
      </c>
      <c r="D594" s="200" t="s">
        <v>164</v>
      </c>
    </row>
    <row r="595" spans="2:11" ht="12.75" hidden="1" outlineLevel="1">
      <c r="B595" s="91" t="s">
        <v>336</v>
      </c>
      <c r="C595" s="90" t="s">
        <v>281</v>
      </c>
      <c r="D595" s="200" t="s">
        <v>164</v>
      </c>
      <c r="H595" s="96"/>
      <c r="I595" s="96"/>
      <c r="J595" s="96"/>
      <c r="K595" s="96"/>
    </row>
    <row r="596" spans="2:11" ht="12.75" hidden="1" outlineLevel="1">
      <c r="B596" s="91" t="s">
        <v>334</v>
      </c>
      <c r="C596" s="90" t="s">
        <v>350</v>
      </c>
      <c r="D596" s="200" t="s">
        <v>164</v>
      </c>
      <c r="H596" s="96"/>
      <c r="I596" s="96"/>
      <c r="J596" s="96"/>
      <c r="K596" s="96"/>
    </row>
    <row r="597" spans="2:11" ht="12.75" hidden="1" outlineLevel="1">
      <c r="B597" s="91" t="s">
        <v>335</v>
      </c>
      <c r="C597" s="90" t="s">
        <v>283</v>
      </c>
      <c r="D597" s="200" t="s">
        <v>164</v>
      </c>
      <c r="H597" s="96"/>
      <c r="I597" s="96"/>
      <c r="J597" s="96"/>
      <c r="K597" s="96"/>
    </row>
    <row r="598" spans="2:11" ht="12.75" hidden="1" outlineLevel="1">
      <c r="B598" s="91" t="s">
        <v>150</v>
      </c>
      <c r="C598" s="90" t="s">
        <v>278</v>
      </c>
      <c r="D598" s="200" t="s">
        <v>164</v>
      </c>
      <c r="H598" s="96"/>
      <c r="I598" s="96"/>
      <c r="J598" s="96"/>
      <c r="K598" s="96"/>
    </row>
    <row r="599" spans="2:4" ht="12.75" hidden="1" outlineLevel="1">
      <c r="B599" s="91" t="s">
        <v>155</v>
      </c>
      <c r="C599" s="90" t="s">
        <v>351</v>
      </c>
      <c r="D599" s="200" t="s">
        <v>164</v>
      </c>
    </row>
    <row r="600" spans="2:4" ht="12.75" hidden="1" outlineLevel="1">
      <c r="B600" s="91" t="s">
        <v>155</v>
      </c>
      <c r="C600" s="90" t="s">
        <v>279</v>
      </c>
      <c r="D600" s="200" t="s">
        <v>164</v>
      </c>
    </row>
    <row r="601" spans="2:4" ht="12.75" hidden="1" outlineLevel="1">
      <c r="B601" s="91" t="s">
        <v>147</v>
      </c>
      <c r="C601" s="90" t="s">
        <v>353</v>
      </c>
      <c r="D601" s="200" t="s">
        <v>164</v>
      </c>
    </row>
    <row r="602" spans="2:4" ht="12.75" hidden="1" outlineLevel="1">
      <c r="B602" s="91" t="s">
        <v>151</v>
      </c>
      <c r="C602" s="90" t="s">
        <v>282</v>
      </c>
      <c r="D602" s="200" t="s">
        <v>164</v>
      </c>
    </row>
    <row r="603" spans="2:4" ht="12.75" hidden="1" outlineLevel="1">
      <c r="B603" s="91" t="s">
        <v>337</v>
      </c>
      <c r="C603" s="90" t="s">
        <v>553</v>
      </c>
      <c r="D603" s="200" t="s">
        <v>164</v>
      </c>
    </row>
    <row r="604" ht="12.75" collapsed="1"/>
    <row r="605" s="106" customFormat="1" ht="12.75">
      <c r="B605" s="106" t="str">
        <f>+CONCATENATE("Yes"," = ",COUNTIF(D574:D603,"Yes"),CONCATENATE("  (",TEXT(COUNTIF(D574:D603,"Yes")/ROWS(D574:D603),"#%"),")"))</f>
        <v>Yes = 6  (20%)</v>
      </c>
    </row>
    <row r="606" s="106" customFormat="1" ht="12.75">
      <c r="B606" s="106" t="str">
        <f>+CONCATENATE("No"," = ",COUNTIF(D574:D603,"No"),CONCATENATE("  (",TEXT(COUNTIF(D574:D603,"No")/ROWS(D574:D603),"#%"),")"))</f>
        <v>No = 24  (80%)</v>
      </c>
    </row>
    <row r="607" s="106" customFormat="1" ht="12.75"/>
    <row r="608" s="106" customFormat="1" ht="12.75">
      <c r="C608" s="216" t="s">
        <v>1323</v>
      </c>
    </row>
    <row r="609" ht="12.75">
      <c r="C609" s="90" t="s">
        <v>1509</v>
      </c>
    </row>
    <row r="611" spans="1:2" s="119" customFormat="1" ht="15">
      <c r="A611" s="117">
        <v>15</v>
      </c>
      <c r="B611" s="119" t="s">
        <v>312</v>
      </c>
    </row>
    <row r="612" spans="2:5" s="130" customFormat="1" ht="12.75" hidden="1" outlineLevel="1">
      <c r="B612" s="185" t="s">
        <v>324</v>
      </c>
      <c r="C612" s="185" t="s">
        <v>189</v>
      </c>
      <c r="D612" s="201" t="s">
        <v>1375</v>
      </c>
      <c r="E612" s="130" t="s">
        <v>1278</v>
      </c>
    </row>
    <row r="613" spans="2:5" ht="12.75" hidden="1" outlineLevel="1">
      <c r="B613" s="91" t="s">
        <v>332</v>
      </c>
      <c r="C613" s="90" t="s">
        <v>554</v>
      </c>
      <c r="D613" s="200" t="s">
        <v>163</v>
      </c>
      <c r="E613" s="89" t="s">
        <v>1379</v>
      </c>
    </row>
    <row r="614" spans="2:5" ht="12.75" hidden="1" outlineLevel="1">
      <c r="B614" s="91" t="s">
        <v>332</v>
      </c>
      <c r="C614" s="90" t="s">
        <v>436</v>
      </c>
      <c r="D614" s="200" t="s">
        <v>163</v>
      </c>
      <c r="E614" s="89" t="s">
        <v>1376</v>
      </c>
    </row>
    <row r="615" spans="2:5" ht="12.75" hidden="1" outlineLevel="1">
      <c r="B615" s="91" t="s">
        <v>142</v>
      </c>
      <c r="C615" s="90" t="s">
        <v>343</v>
      </c>
      <c r="D615" s="200" t="s">
        <v>163</v>
      </c>
      <c r="E615" s="89" t="s">
        <v>1377</v>
      </c>
    </row>
    <row r="616" spans="2:5" ht="12.75" hidden="1" outlineLevel="1">
      <c r="B616" s="91" t="s">
        <v>153</v>
      </c>
      <c r="C616" s="90" t="s">
        <v>444</v>
      </c>
      <c r="D616" s="200" t="s">
        <v>163</v>
      </c>
      <c r="E616" s="89" t="s">
        <v>1378</v>
      </c>
    </row>
    <row r="617" spans="2:5" ht="12.75" hidden="1" outlineLevel="1">
      <c r="B617" s="91" t="s">
        <v>153</v>
      </c>
      <c r="C617" s="90" t="s">
        <v>446</v>
      </c>
      <c r="D617" s="200" t="s">
        <v>163</v>
      </c>
      <c r="E617" s="89" t="s">
        <v>1664</v>
      </c>
    </row>
    <row r="618" spans="2:5" ht="12.75" hidden="1" outlineLevel="1">
      <c r="B618" s="91" t="s">
        <v>139</v>
      </c>
      <c r="C618" s="90" t="s">
        <v>551</v>
      </c>
      <c r="D618" s="200" t="s">
        <v>163</v>
      </c>
      <c r="E618" s="89" t="s">
        <v>1380</v>
      </c>
    </row>
    <row r="619" spans="2:5" ht="12.75" hidden="1" outlineLevel="1">
      <c r="B619" s="91" t="s">
        <v>148</v>
      </c>
      <c r="C619" s="90" t="s">
        <v>552</v>
      </c>
      <c r="D619" s="200" t="s">
        <v>163</v>
      </c>
      <c r="E619" s="89" t="s">
        <v>1381</v>
      </c>
    </row>
    <row r="620" spans="2:5" ht="12.75" hidden="1" outlineLevel="1">
      <c r="B620" s="91" t="s">
        <v>336</v>
      </c>
      <c r="C620" s="90" t="s">
        <v>281</v>
      </c>
      <c r="D620" s="200" t="s">
        <v>163</v>
      </c>
      <c r="E620" s="89" t="s">
        <v>1317</v>
      </c>
    </row>
    <row r="621" spans="2:5" ht="12.75" hidden="1" outlineLevel="1">
      <c r="B621" s="91" t="s">
        <v>152</v>
      </c>
      <c r="C621" s="90" t="s">
        <v>408</v>
      </c>
      <c r="D621" s="200" t="s">
        <v>163</v>
      </c>
      <c r="E621" s="89" t="s">
        <v>1318</v>
      </c>
    </row>
    <row r="622" spans="2:5" ht="12.75" hidden="1" outlineLevel="1">
      <c r="B622" s="91" t="s">
        <v>155</v>
      </c>
      <c r="C622" s="90" t="s">
        <v>351</v>
      </c>
      <c r="D622" s="200" t="s">
        <v>163</v>
      </c>
      <c r="E622" s="89" t="s">
        <v>1319</v>
      </c>
    </row>
    <row r="623" spans="2:11" ht="12.75" hidden="1" outlineLevel="1">
      <c r="B623" s="91" t="s">
        <v>155</v>
      </c>
      <c r="C623" s="90" t="s">
        <v>279</v>
      </c>
      <c r="D623" s="200" t="s">
        <v>163</v>
      </c>
      <c r="E623" s="89" t="s">
        <v>1639</v>
      </c>
      <c r="H623" s="96"/>
      <c r="I623" s="96"/>
      <c r="J623" s="96"/>
      <c r="K623" s="96"/>
    </row>
    <row r="624" spans="2:11" ht="12.75" hidden="1" outlineLevel="1">
      <c r="B624" s="91" t="s">
        <v>147</v>
      </c>
      <c r="C624" s="90" t="s">
        <v>353</v>
      </c>
      <c r="D624" s="200" t="s">
        <v>163</v>
      </c>
      <c r="E624" s="89" t="s">
        <v>1320</v>
      </c>
      <c r="H624" s="96"/>
      <c r="I624" s="96"/>
      <c r="J624" s="96"/>
      <c r="K624" s="96"/>
    </row>
    <row r="625" spans="2:11" ht="12.75" hidden="1" outlineLevel="1">
      <c r="B625" s="91" t="s">
        <v>337</v>
      </c>
      <c r="C625" s="90" t="s">
        <v>553</v>
      </c>
      <c r="D625" s="200" t="s">
        <v>163</v>
      </c>
      <c r="E625" s="89" t="s">
        <v>1321</v>
      </c>
      <c r="H625" s="96"/>
      <c r="I625" s="96"/>
      <c r="J625" s="96"/>
      <c r="K625" s="96"/>
    </row>
    <row r="626" spans="2:11" ht="12.75" hidden="1" outlineLevel="1">
      <c r="B626" s="91" t="s">
        <v>140</v>
      </c>
      <c r="C626" s="90" t="s">
        <v>341</v>
      </c>
      <c r="D626" s="147" t="s">
        <v>164</v>
      </c>
      <c r="E626" s="89" t="s">
        <v>199</v>
      </c>
      <c r="H626" s="96"/>
      <c r="I626" s="96"/>
      <c r="J626" s="96"/>
      <c r="K626" s="96"/>
    </row>
    <row r="627" spans="2:5" ht="12.75" hidden="1" outlineLevel="1">
      <c r="B627" s="91" t="s">
        <v>332</v>
      </c>
      <c r="C627" s="90" t="s">
        <v>286</v>
      </c>
      <c r="D627" s="200" t="s">
        <v>164</v>
      </c>
      <c r="E627" s="89"/>
    </row>
    <row r="628" spans="2:5" ht="12.75" hidden="1" outlineLevel="1">
      <c r="B628" s="91" t="s">
        <v>141</v>
      </c>
      <c r="C628" s="90" t="s">
        <v>445</v>
      </c>
      <c r="D628" s="200" t="s">
        <v>164</v>
      </c>
      <c r="E628" s="89"/>
    </row>
    <row r="629" spans="2:5" ht="12.75" hidden="1" outlineLevel="1">
      <c r="B629" s="91" t="s">
        <v>146</v>
      </c>
      <c r="C629" s="90" t="s">
        <v>349</v>
      </c>
      <c r="D629" s="200" t="s">
        <v>164</v>
      </c>
      <c r="E629" s="89"/>
    </row>
    <row r="630" spans="2:5" ht="12.75" hidden="1" outlineLevel="1">
      <c r="B630" s="91" t="s">
        <v>146</v>
      </c>
      <c r="C630" s="90" t="s">
        <v>550</v>
      </c>
      <c r="D630" s="200" t="s">
        <v>164</v>
      </c>
      <c r="E630" s="89"/>
    </row>
    <row r="631" spans="2:5" ht="12.75" hidden="1" outlineLevel="1">
      <c r="B631" s="91" t="s">
        <v>143</v>
      </c>
      <c r="C631" s="90" t="s">
        <v>437</v>
      </c>
      <c r="D631" s="200" t="s">
        <v>164</v>
      </c>
      <c r="E631" s="89"/>
    </row>
    <row r="632" spans="2:5" ht="12.75" hidden="1" outlineLevel="1">
      <c r="B632" s="91" t="s">
        <v>143</v>
      </c>
      <c r="C632" s="90" t="s">
        <v>287</v>
      </c>
      <c r="D632" s="200" t="s">
        <v>163</v>
      </c>
      <c r="E632" s="89" t="s">
        <v>1611</v>
      </c>
    </row>
    <row r="633" spans="2:5" ht="12.75" hidden="1" outlineLevel="1">
      <c r="B633" s="91" t="s">
        <v>144</v>
      </c>
      <c r="C633" s="90" t="s">
        <v>438</v>
      </c>
      <c r="D633" s="200" t="s">
        <v>164</v>
      </c>
      <c r="E633" s="89"/>
    </row>
    <row r="634" spans="2:5" ht="12.75" hidden="1" outlineLevel="1">
      <c r="B634" s="91" t="s">
        <v>333</v>
      </c>
      <c r="C634" s="90" t="s">
        <v>447</v>
      </c>
      <c r="D634" s="200" t="s">
        <v>164</v>
      </c>
      <c r="E634" s="89"/>
    </row>
    <row r="635" spans="2:5" ht="12.75" hidden="1" outlineLevel="1">
      <c r="B635" s="91" t="s">
        <v>154</v>
      </c>
      <c r="C635" s="90" t="s">
        <v>352</v>
      </c>
      <c r="D635" s="200" t="s">
        <v>164</v>
      </c>
      <c r="E635" s="89"/>
    </row>
    <row r="636" spans="2:5" ht="12.75" hidden="1" outlineLevel="1">
      <c r="B636" s="91" t="s">
        <v>154</v>
      </c>
      <c r="C636" s="90" t="s">
        <v>342</v>
      </c>
      <c r="D636" s="200" t="s">
        <v>164</v>
      </c>
      <c r="E636" s="89"/>
    </row>
    <row r="637" spans="2:5" ht="12.75" hidden="1" outlineLevel="1">
      <c r="B637" s="91" t="s">
        <v>334</v>
      </c>
      <c r="C637" s="90" t="s">
        <v>350</v>
      </c>
      <c r="D637" s="200" t="s">
        <v>164</v>
      </c>
      <c r="E637" s="89"/>
    </row>
    <row r="638" spans="2:5" ht="12.75" hidden="1" outlineLevel="1">
      <c r="B638" s="91" t="s">
        <v>145</v>
      </c>
      <c r="C638" s="90" t="s">
        <v>439</v>
      </c>
      <c r="D638" s="200" t="s">
        <v>164</v>
      </c>
      <c r="E638" s="89"/>
    </row>
    <row r="639" spans="2:5" ht="12.75" hidden="1" outlineLevel="1">
      <c r="B639" s="91" t="s">
        <v>335</v>
      </c>
      <c r="C639" s="90" t="s">
        <v>283</v>
      </c>
      <c r="D639" s="200" t="s">
        <v>164</v>
      </c>
      <c r="E639" s="89"/>
    </row>
    <row r="640" spans="2:5" ht="12.75" hidden="1" outlineLevel="1">
      <c r="B640" s="91" t="s">
        <v>149</v>
      </c>
      <c r="C640" s="90" t="s">
        <v>277</v>
      </c>
      <c r="D640" s="200" t="s">
        <v>164</v>
      </c>
      <c r="E640" s="89"/>
    </row>
    <row r="641" spans="2:5" ht="12.75" hidden="1" outlineLevel="1">
      <c r="B641" s="91" t="s">
        <v>150</v>
      </c>
      <c r="C641" s="90" t="s">
        <v>278</v>
      </c>
      <c r="D641" s="200" t="s">
        <v>164</v>
      </c>
      <c r="E641" s="89"/>
    </row>
    <row r="642" spans="2:5" ht="12.75" hidden="1" outlineLevel="1">
      <c r="B642" s="91" t="s">
        <v>151</v>
      </c>
      <c r="C642" s="90" t="s">
        <v>282</v>
      </c>
      <c r="D642" s="200" t="s">
        <v>164</v>
      </c>
      <c r="E642" s="89"/>
    </row>
    <row r="643" spans="2:5" ht="12.75" hidden="1" outlineLevel="1">
      <c r="B643" s="91" t="s">
        <v>156</v>
      </c>
      <c r="C643" s="90" t="s">
        <v>288</v>
      </c>
      <c r="D643" s="200" t="s">
        <v>164</v>
      </c>
      <c r="E643" s="89"/>
    </row>
    <row r="644" spans="2:4" ht="12.75" collapsed="1">
      <c r="B644" s="91"/>
      <c r="D644" s="89"/>
    </row>
    <row r="645" s="107" customFormat="1" ht="12.75">
      <c r="B645" s="107" t="str">
        <f>CONCATENATE("Yes"," = ",COUNTIF(D613:D643,"Yes"),CONCATENATE("    (",TEXT(COUNTIF(D613:D643,"Yes")/ROWS(D613:D643),"#%"),")"))</f>
        <v>Yes = 14    (45%)</v>
      </c>
    </row>
    <row r="646" s="107" customFormat="1" ht="12.75">
      <c r="B646" s="107" t="str">
        <f>+CONCATENATE("No","   = ",COUNTIF(D613:D643,"No"),CONCATENATE("    (",TEXT(COUNTIF(D613:D643,"No")/ROWS(D613:D643),"#%"),")"))</f>
        <v>No   = 17    (55%)</v>
      </c>
    </row>
    <row r="647" s="107" customFormat="1" ht="12.75"/>
    <row r="648" s="107" customFormat="1" ht="12.75">
      <c r="C648" s="139" t="s">
        <v>1323</v>
      </c>
    </row>
    <row r="649" ht="12.75">
      <c r="C649" s="90" t="s">
        <v>1713</v>
      </c>
    </row>
    <row r="650" ht="12.75" hidden="1" outlineLevel="1">
      <c r="F650" s="101"/>
    </row>
    <row r="651" spans="3:11" ht="12.75" hidden="1" outlineLevel="1">
      <c r="C651" s="106">
        <v>2011</v>
      </c>
      <c r="D651" s="106">
        <v>2014</v>
      </c>
      <c r="E651" s="278" t="s">
        <v>1322</v>
      </c>
      <c r="F651" s="278"/>
      <c r="H651" s="96"/>
      <c r="I651" s="96">
        <v>2011</v>
      </c>
      <c r="J651" s="96">
        <v>2014</v>
      </c>
      <c r="K651" s="96"/>
    </row>
    <row r="652" spans="3:11" ht="12.75" hidden="1" outlineLevel="1">
      <c r="C652" s="147" t="str">
        <f>CONCATENATE("Yes"," = ",H652,CONCATENATE("    (",TEXT(H652/($H$653+$H$652),"#%"),")"))</f>
        <v>Yes = 10    (37%)</v>
      </c>
      <c r="D652" s="147" t="str">
        <f>B645</f>
        <v>Yes = 14    (45%)</v>
      </c>
      <c r="E652" s="189">
        <f>J652-I652</f>
        <v>0.08124253285543609</v>
      </c>
      <c r="F652" s="147"/>
      <c r="H652" s="96">
        <v>10</v>
      </c>
      <c r="I652" s="96">
        <f>(H652/($H$653+$H$652))</f>
        <v>0.37037037037037035</v>
      </c>
      <c r="J652" s="96">
        <f>(COUNTIF(D613:D643,"Yes")/ROWS(D613:D643))</f>
        <v>0.45161290322580644</v>
      </c>
      <c r="K652" s="96"/>
    </row>
    <row r="653" spans="3:11" ht="12.75" hidden="1" outlineLevel="1">
      <c r="C653" s="147" t="str">
        <f>CONCATENATE("No","   = ",H653,CONCATENATE("    (",TEXT(H653/($H$653+$H$652),"#%"),")"))</f>
        <v>No   = 17    (63%)</v>
      </c>
      <c r="D653" s="147" t="str">
        <f>B646</f>
        <v>No   = 17    (55%)</v>
      </c>
      <c r="E653" s="189">
        <f>J653-I653</f>
        <v>-0.08124253285543614</v>
      </c>
      <c r="F653" s="147"/>
      <c r="H653" s="96">
        <v>17</v>
      </c>
      <c r="I653" s="96">
        <f>(H653/($H$653+$H$652))</f>
        <v>0.6296296296296297</v>
      </c>
      <c r="J653" s="96">
        <f>(COUNTIF(D613:D643,"No")/ROWS(D613:D643))</f>
        <v>0.5483870967741935</v>
      </c>
      <c r="K653" s="96"/>
    </row>
    <row r="654" spans="8:11" ht="12.75" collapsed="1">
      <c r="H654" s="96"/>
      <c r="I654" s="96"/>
      <c r="J654" s="96"/>
      <c r="K654" s="96"/>
    </row>
  </sheetData>
  <sheetProtection/>
  <mergeCells count="20">
    <mergeCell ref="E104:F104"/>
    <mergeCell ref="E93:F93"/>
    <mergeCell ref="E49:F49"/>
    <mergeCell ref="E651:F651"/>
    <mergeCell ref="E568:F568"/>
    <mergeCell ref="E525:F525"/>
    <mergeCell ref="E482:F482"/>
    <mergeCell ref="E439:F439"/>
    <mergeCell ref="E396:F396"/>
    <mergeCell ref="E356:F356"/>
    <mergeCell ref="E194:R194"/>
    <mergeCell ref="E327:R327"/>
    <mergeCell ref="E323:R323"/>
    <mergeCell ref="E147:F147"/>
    <mergeCell ref="E313:F313"/>
    <mergeCell ref="E270:F270"/>
    <mergeCell ref="E227:F227"/>
    <mergeCell ref="E214:R214"/>
    <mergeCell ref="E208:R208"/>
    <mergeCell ref="E196:R196"/>
  </mergeCells>
  <printOptions/>
  <pageMargins left="0.7" right="0.7" top="0.75" bottom="0.75" header="0.3" footer="0.3"/>
  <pageSetup fitToHeight="3" horizontalDpi="600" verticalDpi="600" orientation="portrait" scale="74"/>
  <headerFooter alignWithMargins="0">
    <oddFooter>&amp;C&amp;P</oddFooter>
  </headerFooter>
  <rowBreaks count="3" manualBreakCount="3">
    <brk id="52" max="3" man="1"/>
    <brk id="187" max="3" man="1"/>
    <brk id="230" max="3" man="1"/>
  </rowBreak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N320"/>
  <sheetViews>
    <sheetView showGridLines="0" zoomScalePageLayoutView="0" workbookViewId="0" topLeftCell="A1">
      <selection activeCell="A1" sqref="A1"/>
    </sheetView>
  </sheetViews>
  <sheetFormatPr defaultColWidth="8.8515625" defaultRowHeight="12.75" outlineLevelRow="1"/>
  <cols>
    <col min="1" max="1" width="3.421875" style="90" customWidth="1"/>
    <col min="2" max="2" width="17.7109375" style="90" customWidth="1"/>
    <col min="3" max="3" width="25.7109375" style="90" customWidth="1"/>
    <col min="4" max="4" width="25.421875" style="90" customWidth="1"/>
    <col min="5" max="6" width="10.28125" style="90" customWidth="1"/>
    <col min="7" max="7" width="18.421875" style="90" customWidth="1"/>
    <col min="8" max="16384" width="8.8515625" style="90" customWidth="1"/>
  </cols>
  <sheetData>
    <row r="1" ht="75" customHeight="1">
      <c r="A1" s="95"/>
    </row>
    <row r="2" ht="22.5">
      <c r="A2" s="143" t="s">
        <v>1715</v>
      </c>
    </row>
    <row r="3" ht="22.5">
      <c r="A3" s="143"/>
    </row>
    <row r="4" spans="1:7" ht="18.75" customHeight="1">
      <c r="A4" s="143"/>
      <c r="G4" s="262"/>
    </row>
    <row r="5" ht="18.75" customHeight="1">
      <c r="A5" s="93"/>
    </row>
    <row r="6" ht="42.75" customHeight="1">
      <c r="A6" s="146"/>
    </row>
    <row r="7" s="263" customFormat="1" ht="18">
      <c r="A7" s="261" t="s">
        <v>1716</v>
      </c>
    </row>
    <row r="8" ht="13.5" customHeight="1"/>
    <row r="9" spans="1:3" s="112" customFormat="1" ht="15.75" customHeight="1">
      <c r="A9" s="111">
        <v>1</v>
      </c>
      <c r="B9" s="264" t="s">
        <v>111</v>
      </c>
      <c r="C9" s="265"/>
    </row>
    <row r="10" spans="2:5" s="130" customFormat="1" ht="12.75" hidden="1" outlineLevel="1">
      <c r="B10" s="185" t="s">
        <v>324</v>
      </c>
      <c r="C10" s="185" t="s">
        <v>189</v>
      </c>
      <c r="D10" s="131" t="s">
        <v>1419</v>
      </c>
      <c r="E10" s="130" t="s">
        <v>1418</v>
      </c>
    </row>
    <row r="11" spans="2:5" ht="12.75" hidden="1" outlineLevel="1">
      <c r="B11" s="91" t="s">
        <v>332</v>
      </c>
      <c r="C11" s="90" t="s">
        <v>436</v>
      </c>
      <c r="D11" s="89" t="s">
        <v>1389</v>
      </c>
      <c r="E11" s="89" t="s">
        <v>1420</v>
      </c>
    </row>
    <row r="12" spans="2:5" ht="12.75" hidden="1" outlineLevel="1">
      <c r="B12" s="91" t="s">
        <v>141</v>
      </c>
      <c r="C12" s="90" t="s">
        <v>445</v>
      </c>
      <c r="D12" s="89" t="s">
        <v>1389</v>
      </c>
      <c r="E12" s="89" t="s">
        <v>1421</v>
      </c>
    </row>
    <row r="13" spans="2:5" ht="12.75" hidden="1" outlineLevel="1">
      <c r="B13" s="91" t="s">
        <v>146</v>
      </c>
      <c r="C13" s="90" t="s">
        <v>550</v>
      </c>
      <c r="D13" s="89" t="s">
        <v>1389</v>
      </c>
      <c r="E13" s="89" t="s">
        <v>1422</v>
      </c>
    </row>
    <row r="14" spans="2:5" ht="12.75" hidden="1" outlineLevel="1">
      <c r="B14" s="91" t="s">
        <v>143</v>
      </c>
      <c r="C14" s="90" t="s">
        <v>287</v>
      </c>
      <c r="D14" s="89" t="s">
        <v>1389</v>
      </c>
      <c r="E14" s="89" t="s">
        <v>1382</v>
      </c>
    </row>
    <row r="15" spans="2:5" ht="12.75" hidden="1" outlineLevel="1">
      <c r="B15" s="91" t="s">
        <v>148</v>
      </c>
      <c r="C15" s="90" t="s">
        <v>552</v>
      </c>
      <c r="D15" s="89" t="s">
        <v>1389</v>
      </c>
      <c r="E15" s="89" t="s">
        <v>1383</v>
      </c>
    </row>
    <row r="16" spans="2:5" ht="12.75" hidden="1" outlineLevel="1">
      <c r="B16" s="91" t="s">
        <v>336</v>
      </c>
      <c r="C16" s="90" t="s">
        <v>281</v>
      </c>
      <c r="D16" s="89" t="s">
        <v>1389</v>
      </c>
      <c r="E16" s="89" t="s">
        <v>1384</v>
      </c>
    </row>
    <row r="17" spans="2:5" ht="12.75" hidden="1" outlineLevel="1">
      <c r="B17" s="91" t="s">
        <v>334</v>
      </c>
      <c r="C17" s="90" t="s">
        <v>350</v>
      </c>
      <c r="D17" s="89" t="s">
        <v>1389</v>
      </c>
      <c r="E17" s="89" t="s">
        <v>1396</v>
      </c>
    </row>
    <row r="18" spans="2:5" ht="12.75" hidden="1" outlineLevel="1">
      <c r="B18" s="91" t="s">
        <v>335</v>
      </c>
      <c r="C18" s="90" t="s">
        <v>283</v>
      </c>
      <c r="D18" s="89" t="s">
        <v>1389</v>
      </c>
      <c r="E18" s="89" t="s">
        <v>1397</v>
      </c>
    </row>
    <row r="19" spans="2:5" ht="12.75" hidden="1" outlineLevel="1">
      <c r="B19" s="91" t="s">
        <v>149</v>
      </c>
      <c r="C19" s="90" t="s">
        <v>277</v>
      </c>
      <c r="D19" s="89" t="s">
        <v>1389</v>
      </c>
      <c r="E19" s="89" t="s">
        <v>1398</v>
      </c>
    </row>
    <row r="20" spans="2:5" ht="12.75" hidden="1" outlineLevel="1">
      <c r="B20" s="91" t="s">
        <v>150</v>
      </c>
      <c r="C20" s="90" t="s">
        <v>278</v>
      </c>
      <c r="D20" s="89" t="s">
        <v>1389</v>
      </c>
      <c r="E20" s="89" t="s">
        <v>1399</v>
      </c>
    </row>
    <row r="21" spans="2:7" ht="12.75" hidden="1" outlineLevel="1">
      <c r="B21" s="91" t="s">
        <v>155</v>
      </c>
      <c r="C21" s="90" t="s">
        <v>279</v>
      </c>
      <c r="D21" s="89" t="s">
        <v>1389</v>
      </c>
      <c r="E21" s="89" t="s">
        <v>1400</v>
      </c>
      <c r="G21" s="262"/>
    </row>
    <row r="22" spans="2:5" ht="12.75" hidden="1" outlineLevel="1">
      <c r="B22" s="91" t="s">
        <v>151</v>
      </c>
      <c r="C22" s="90" t="s">
        <v>282</v>
      </c>
      <c r="D22" s="89" t="s">
        <v>1389</v>
      </c>
      <c r="E22" s="89" t="s">
        <v>1401</v>
      </c>
    </row>
    <row r="23" spans="2:5" ht="12.75" hidden="1" outlineLevel="1">
      <c r="B23" s="91" t="s">
        <v>140</v>
      </c>
      <c r="C23" s="90" t="s">
        <v>341</v>
      </c>
      <c r="D23" s="89" t="s">
        <v>1388</v>
      </c>
      <c r="E23" s="89" t="s">
        <v>750</v>
      </c>
    </row>
    <row r="24" spans="2:5" ht="12.75" hidden="1" outlineLevel="1">
      <c r="B24" s="91" t="s">
        <v>332</v>
      </c>
      <c r="C24" s="90" t="s">
        <v>286</v>
      </c>
      <c r="D24" s="89" t="s">
        <v>1388</v>
      </c>
      <c r="E24" s="89" t="s">
        <v>1402</v>
      </c>
    </row>
    <row r="25" spans="2:5" ht="12.75" hidden="1" outlineLevel="1">
      <c r="B25" s="91" t="s">
        <v>142</v>
      </c>
      <c r="C25" s="90" t="s">
        <v>343</v>
      </c>
      <c r="D25" s="89" t="s">
        <v>1388</v>
      </c>
      <c r="E25" s="89" t="s">
        <v>1403</v>
      </c>
    </row>
    <row r="26" spans="2:5" ht="12.75" hidden="1" outlineLevel="1">
      <c r="B26" s="91" t="s">
        <v>143</v>
      </c>
      <c r="C26" s="90" t="s">
        <v>437</v>
      </c>
      <c r="D26" s="89" t="s">
        <v>1388</v>
      </c>
      <c r="E26" s="89" t="s">
        <v>1404</v>
      </c>
    </row>
    <row r="27" spans="2:5" ht="12.75" hidden="1" outlineLevel="1">
      <c r="B27" s="91" t="s">
        <v>144</v>
      </c>
      <c r="C27" s="90" t="s">
        <v>438</v>
      </c>
      <c r="D27" s="89" t="s">
        <v>1388</v>
      </c>
      <c r="E27" s="89" t="s">
        <v>1438</v>
      </c>
    </row>
    <row r="28" spans="2:5" ht="12.75" hidden="1" outlineLevel="1">
      <c r="B28" s="91" t="s">
        <v>153</v>
      </c>
      <c r="C28" s="90" t="s">
        <v>444</v>
      </c>
      <c r="D28" s="89" t="s">
        <v>1388</v>
      </c>
      <c r="E28" s="89" t="s">
        <v>1439</v>
      </c>
    </row>
    <row r="29" spans="2:5" ht="12.75" hidden="1" outlineLevel="1">
      <c r="B29" s="91" t="s">
        <v>139</v>
      </c>
      <c r="C29" s="90" t="s">
        <v>551</v>
      </c>
      <c r="D29" s="89" t="s">
        <v>1388</v>
      </c>
      <c r="E29" s="89" t="s">
        <v>1440</v>
      </c>
    </row>
    <row r="30" spans="2:5" ht="12.75" hidden="1" outlineLevel="1">
      <c r="B30" s="91" t="s">
        <v>154</v>
      </c>
      <c r="C30" s="90" t="s">
        <v>352</v>
      </c>
      <c r="D30" s="89" t="s">
        <v>1388</v>
      </c>
      <c r="E30" s="89" t="s">
        <v>1441</v>
      </c>
    </row>
    <row r="31" spans="2:5" ht="12.75" hidden="1" outlineLevel="1">
      <c r="B31" s="91" t="s">
        <v>154</v>
      </c>
      <c r="C31" s="90" t="s">
        <v>342</v>
      </c>
      <c r="D31" s="89" t="s">
        <v>1388</v>
      </c>
      <c r="E31" s="89" t="s">
        <v>1442</v>
      </c>
    </row>
    <row r="32" spans="2:5" ht="12.75" hidden="1" outlineLevel="1">
      <c r="B32" s="91" t="s">
        <v>145</v>
      </c>
      <c r="C32" s="90" t="s">
        <v>439</v>
      </c>
      <c r="D32" s="89" t="s">
        <v>1388</v>
      </c>
      <c r="E32" s="89" t="s">
        <v>1443</v>
      </c>
    </row>
    <row r="33" spans="2:5" ht="12.75" hidden="1" outlineLevel="1">
      <c r="B33" s="91" t="s">
        <v>152</v>
      </c>
      <c r="C33" s="90" t="s">
        <v>408</v>
      </c>
      <c r="D33" s="89" t="s">
        <v>1388</v>
      </c>
      <c r="E33" s="89" t="s">
        <v>1189</v>
      </c>
    </row>
    <row r="34" spans="2:5" ht="12.75" hidden="1" outlineLevel="1">
      <c r="B34" s="91" t="s">
        <v>155</v>
      </c>
      <c r="C34" s="90" t="s">
        <v>351</v>
      </c>
      <c r="D34" s="89" t="s">
        <v>1388</v>
      </c>
      <c r="E34" s="89" t="s">
        <v>1221</v>
      </c>
    </row>
    <row r="35" spans="2:5" ht="12.75" hidden="1" outlineLevel="1">
      <c r="B35" s="91" t="s">
        <v>147</v>
      </c>
      <c r="C35" s="90" t="s">
        <v>353</v>
      </c>
      <c r="D35" s="89" t="s">
        <v>1388</v>
      </c>
      <c r="E35" s="89" t="s">
        <v>1444</v>
      </c>
    </row>
    <row r="36" spans="2:5" ht="12.75" hidden="1" outlineLevel="1">
      <c r="B36" s="91" t="s">
        <v>337</v>
      </c>
      <c r="C36" s="90" t="s">
        <v>553</v>
      </c>
      <c r="D36" s="89" t="s">
        <v>1388</v>
      </c>
      <c r="E36" s="89" t="s">
        <v>1385</v>
      </c>
    </row>
    <row r="37" spans="2:5" ht="12.75" hidden="1" outlineLevel="1">
      <c r="B37" s="91" t="s">
        <v>156</v>
      </c>
      <c r="C37" s="90" t="s">
        <v>288</v>
      </c>
      <c r="D37" s="89" t="s">
        <v>1388</v>
      </c>
      <c r="E37" s="89" t="s">
        <v>1386</v>
      </c>
    </row>
    <row r="38" spans="2:5" ht="12.75" hidden="1" outlineLevel="1">
      <c r="B38" s="91" t="s">
        <v>332</v>
      </c>
      <c r="C38" s="90" t="s">
        <v>554</v>
      </c>
      <c r="D38" s="89" t="s">
        <v>1033</v>
      </c>
      <c r="E38" s="89" t="s">
        <v>1387</v>
      </c>
    </row>
    <row r="39" spans="2:5" ht="12.75" hidden="1" outlineLevel="1">
      <c r="B39" s="91" t="s">
        <v>153</v>
      </c>
      <c r="C39" s="90" t="s">
        <v>446</v>
      </c>
      <c r="D39" s="89" t="s">
        <v>1033</v>
      </c>
      <c r="E39" s="89" t="s">
        <v>1034</v>
      </c>
    </row>
    <row r="40" spans="2:5" ht="12.75" hidden="1" outlineLevel="1">
      <c r="B40" s="91" t="s">
        <v>146</v>
      </c>
      <c r="C40" s="90" t="s">
        <v>349</v>
      </c>
      <c r="D40" s="89" t="s">
        <v>1033</v>
      </c>
      <c r="E40" s="89" t="s">
        <v>1669</v>
      </c>
    </row>
    <row r="41" ht="12.75" collapsed="1"/>
    <row r="42" s="107" customFormat="1" ht="12.75">
      <c r="B42" s="246" t="str">
        <f>CONCATENATE("Right direction =  ",COUNTIF(D11:D40,"Right direction"),CONCATENATE("   (",TEXT(COUNTIF(D11:D40,"Right direction")/ROWS(D11:D40),"#%"),")"))</f>
        <v>Right direction =  12   (40%)</v>
      </c>
    </row>
    <row r="43" s="107" customFormat="1" ht="12.75">
      <c r="B43" s="246" t="str">
        <f>CONCATENATE("Wrong direction =  ",COUNTIF(D11:D40,"Wrong direction"),CONCATENATE("   (",TEXT(COUNTIF(D11:D40,"Wrong direction")/ROWS(D11:D40),"#%"),")"))</f>
        <v>Wrong direction =  15   (50%)</v>
      </c>
    </row>
    <row r="44" s="107" customFormat="1" ht="12.75">
      <c r="B44" s="246"/>
    </row>
    <row r="45" spans="1:3" s="107" customFormat="1" ht="12.75">
      <c r="A45" s="101"/>
      <c r="C45" s="139" t="s">
        <v>1323</v>
      </c>
    </row>
    <row r="46" spans="1:3" ht="12.75">
      <c r="A46" s="95"/>
      <c r="C46" s="90" t="s">
        <v>1717</v>
      </c>
    </row>
    <row r="47" spans="1:3" ht="12.75">
      <c r="A47" s="95"/>
      <c r="C47" s="90" t="s">
        <v>1718</v>
      </c>
    </row>
    <row r="48" spans="1:6" ht="12.75" hidden="1" outlineLevel="1">
      <c r="A48" s="95"/>
      <c r="F48" s="101"/>
    </row>
    <row r="49" spans="1:13" ht="12.75" hidden="1" outlineLevel="1">
      <c r="A49" s="95"/>
      <c r="C49" s="106">
        <v>2011</v>
      </c>
      <c r="D49" s="106">
        <v>2014</v>
      </c>
      <c r="E49" s="278" t="s">
        <v>1322</v>
      </c>
      <c r="F49" s="278"/>
      <c r="G49" s="262"/>
      <c r="H49" s="262" t="s">
        <v>1569</v>
      </c>
      <c r="I49" s="262" t="s">
        <v>1511</v>
      </c>
      <c r="J49" s="262">
        <v>20.11</v>
      </c>
      <c r="K49" s="262">
        <v>20.14</v>
      </c>
      <c r="L49" s="262" t="s">
        <v>1570</v>
      </c>
      <c r="M49" s="262" t="s">
        <v>1571</v>
      </c>
    </row>
    <row r="50" spans="1:13" ht="12.75" hidden="1" outlineLevel="1">
      <c r="A50" s="95"/>
      <c r="C50" s="147" t="s">
        <v>1501</v>
      </c>
      <c r="D50" s="147" t="s">
        <v>1613</v>
      </c>
      <c r="E50" s="189">
        <f>K50-J50</f>
        <v>-0.007407407407407363</v>
      </c>
      <c r="F50" s="147"/>
      <c r="G50" s="262" t="s">
        <v>175</v>
      </c>
      <c r="H50" s="262">
        <v>11</v>
      </c>
      <c r="I50" s="262">
        <v>12</v>
      </c>
      <c r="J50" s="262">
        <f>H50/$L$50</f>
        <v>0.4074074074074074</v>
      </c>
      <c r="K50" s="262">
        <f>I50/$M$50</f>
        <v>0.4</v>
      </c>
      <c r="L50" s="262">
        <v>27</v>
      </c>
      <c r="M50" s="262">
        <v>30</v>
      </c>
    </row>
    <row r="51" spans="1:13" ht="12.75" hidden="1" outlineLevel="1">
      <c r="A51" s="95"/>
      <c r="C51" s="147" t="s">
        <v>1502</v>
      </c>
      <c r="D51" s="147" t="s">
        <v>1614</v>
      </c>
      <c r="E51" s="189">
        <f>K51-J51</f>
        <v>-0.09259259259259256</v>
      </c>
      <c r="F51" s="147"/>
      <c r="G51" s="262" t="s">
        <v>1500</v>
      </c>
      <c r="H51" s="262">
        <v>16</v>
      </c>
      <c r="I51" s="262">
        <v>15</v>
      </c>
      <c r="J51" s="262">
        <f>H51/$L$50</f>
        <v>0.5925925925925926</v>
      </c>
      <c r="K51" s="262">
        <f>I51/$M$50</f>
        <v>0.5</v>
      </c>
      <c r="L51" s="262"/>
      <c r="M51" s="262"/>
    </row>
    <row r="52" ht="12.75" collapsed="1"/>
    <row r="53" spans="1:2" s="112" customFormat="1" ht="15.75" customHeight="1">
      <c r="A53" s="111">
        <v>2</v>
      </c>
      <c r="B53" s="112" t="s">
        <v>29</v>
      </c>
    </row>
    <row r="54" spans="1:5" s="130" customFormat="1" ht="12.75" hidden="1" outlineLevel="1">
      <c r="A54" s="247"/>
      <c r="B54" s="185" t="s">
        <v>324</v>
      </c>
      <c r="C54" s="185" t="s">
        <v>189</v>
      </c>
      <c r="D54" s="130" t="s">
        <v>1419</v>
      </c>
      <c r="E54" s="130" t="s">
        <v>1418</v>
      </c>
    </row>
    <row r="55" spans="2:5" ht="12.75" hidden="1" outlineLevel="1">
      <c r="B55" s="91" t="s">
        <v>140</v>
      </c>
      <c r="C55" s="90" t="s">
        <v>341</v>
      </c>
      <c r="D55" s="89" t="s">
        <v>1389</v>
      </c>
      <c r="E55" s="89" t="s">
        <v>1391</v>
      </c>
    </row>
    <row r="56" spans="2:5" ht="12.75" hidden="1" outlineLevel="1">
      <c r="B56" s="91" t="s">
        <v>146</v>
      </c>
      <c r="C56" s="90" t="s">
        <v>550</v>
      </c>
      <c r="D56" s="89" t="s">
        <v>1389</v>
      </c>
      <c r="E56" s="89" t="s">
        <v>1656</v>
      </c>
    </row>
    <row r="57" spans="2:5" ht="12.75" hidden="1" outlineLevel="1">
      <c r="B57" s="91" t="s">
        <v>152</v>
      </c>
      <c r="C57" s="90" t="s">
        <v>408</v>
      </c>
      <c r="D57" s="89" t="s">
        <v>1389</v>
      </c>
      <c r="E57" s="89" t="s">
        <v>1190</v>
      </c>
    </row>
    <row r="58" spans="2:5" ht="12.75" hidden="1" outlineLevel="1">
      <c r="B58" s="91" t="s">
        <v>151</v>
      </c>
      <c r="C58" s="90" t="s">
        <v>282</v>
      </c>
      <c r="D58" s="89" t="s">
        <v>1389</v>
      </c>
      <c r="E58" s="89" t="s">
        <v>1392</v>
      </c>
    </row>
    <row r="59" spans="2:5" ht="12.75" hidden="1" outlineLevel="1">
      <c r="B59" s="91" t="s">
        <v>332</v>
      </c>
      <c r="C59" s="90" t="s">
        <v>436</v>
      </c>
      <c r="D59" s="89" t="s">
        <v>1388</v>
      </c>
      <c r="E59" s="89" t="s">
        <v>1410</v>
      </c>
    </row>
    <row r="60" spans="2:5" ht="12.75" hidden="1" outlineLevel="1">
      <c r="B60" s="91" t="s">
        <v>332</v>
      </c>
      <c r="C60" s="90" t="s">
        <v>286</v>
      </c>
      <c r="D60" s="89" t="s">
        <v>1388</v>
      </c>
      <c r="E60" s="89" t="s">
        <v>1411</v>
      </c>
    </row>
    <row r="61" spans="2:5" ht="12.75" hidden="1" outlineLevel="1">
      <c r="B61" s="91" t="s">
        <v>141</v>
      </c>
      <c r="C61" s="90" t="s">
        <v>445</v>
      </c>
      <c r="D61" s="89" t="s">
        <v>1388</v>
      </c>
      <c r="E61" s="89" t="s">
        <v>1412</v>
      </c>
    </row>
    <row r="62" spans="2:5" ht="12.75" hidden="1" outlineLevel="1">
      <c r="B62" s="91" t="s">
        <v>146</v>
      </c>
      <c r="C62" s="90" t="s">
        <v>349</v>
      </c>
      <c r="D62" s="89" t="s">
        <v>1388</v>
      </c>
      <c r="E62" s="89" t="s">
        <v>1413</v>
      </c>
    </row>
    <row r="63" spans="2:5" ht="12.75" hidden="1" outlineLevel="1">
      <c r="B63" s="91" t="s">
        <v>142</v>
      </c>
      <c r="C63" s="90" t="s">
        <v>343</v>
      </c>
      <c r="D63" s="89" t="s">
        <v>1388</v>
      </c>
      <c r="E63" s="89" t="s">
        <v>976</v>
      </c>
    </row>
    <row r="64" spans="2:5" ht="12.75" hidden="1" outlineLevel="1">
      <c r="B64" s="91" t="s">
        <v>143</v>
      </c>
      <c r="C64" s="90" t="s">
        <v>437</v>
      </c>
      <c r="D64" s="89" t="s">
        <v>1388</v>
      </c>
      <c r="E64" s="89" t="s">
        <v>1414</v>
      </c>
    </row>
    <row r="65" spans="2:7" ht="12.75" hidden="1" outlineLevel="1">
      <c r="B65" s="91" t="s">
        <v>144</v>
      </c>
      <c r="C65" s="90" t="s">
        <v>438</v>
      </c>
      <c r="D65" s="89" t="s">
        <v>1388</v>
      </c>
      <c r="E65" s="89" t="s">
        <v>1012</v>
      </c>
      <c r="G65" s="262"/>
    </row>
    <row r="66" spans="2:5" ht="12.75" hidden="1" outlineLevel="1">
      <c r="B66" s="91" t="s">
        <v>153</v>
      </c>
      <c r="C66" s="90" t="s">
        <v>444</v>
      </c>
      <c r="D66" s="89" t="s">
        <v>1388</v>
      </c>
      <c r="E66" s="89" t="s">
        <v>1415</v>
      </c>
    </row>
    <row r="67" spans="2:5" ht="12.75" hidden="1" outlineLevel="1">
      <c r="B67" s="91" t="s">
        <v>153</v>
      </c>
      <c r="C67" s="90" t="s">
        <v>446</v>
      </c>
      <c r="D67" s="89" t="s">
        <v>1388</v>
      </c>
      <c r="E67" s="89" t="s">
        <v>1416</v>
      </c>
    </row>
    <row r="68" spans="2:5" ht="12.75" hidden="1" outlineLevel="1">
      <c r="B68" s="91" t="s">
        <v>139</v>
      </c>
      <c r="C68" s="90" t="s">
        <v>551</v>
      </c>
      <c r="D68" s="89" t="s">
        <v>1388</v>
      </c>
      <c r="E68" s="89" t="s">
        <v>1417</v>
      </c>
    </row>
    <row r="69" spans="2:5" ht="12.75" hidden="1" outlineLevel="1">
      <c r="B69" s="91" t="s">
        <v>148</v>
      </c>
      <c r="C69" s="90" t="s">
        <v>552</v>
      </c>
      <c r="D69" s="89" t="s">
        <v>1388</v>
      </c>
      <c r="E69" s="89" t="s">
        <v>1454</v>
      </c>
    </row>
    <row r="70" spans="2:5" ht="12.75" hidden="1" outlineLevel="1">
      <c r="B70" s="91" t="s">
        <v>154</v>
      </c>
      <c r="C70" s="90" t="s">
        <v>342</v>
      </c>
      <c r="D70" s="89" t="s">
        <v>1388</v>
      </c>
      <c r="E70" s="89" t="s">
        <v>1455</v>
      </c>
    </row>
    <row r="71" spans="2:5" ht="12.75" hidden="1" outlineLevel="1">
      <c r="B71" s="91" t="s">
        <v>336</v>
      </c>
      <c r="C71" s="90" t="s">
        <v>281</v>
      </c>
      <c r="D71" s="89" t="s">
        <v>1388</v>
      </c>
      <c r="E71" s="89" t="s">
        <v>1456</v>
      </c>
    </row>
    <row r="72" spans="2:5" ht="12.75" hidden="1" outlineLevel="1">
      <c r="B72" s="91" t="s">
        <v>334</v>
      </c>
      <c r="C72" s="90" t="s">
        <v>350</v>
      </c>
      <c r="D72" s="89" t="s">
        <v>1388</v>
      </c>
      <c r="E72" s="89" t="s">
        <v>1457</v>
      </c>
    </row>
    <row r="73" spans="2:5" ht="12.75" hidden="1" outlineLevel="1">
      <c r="B73" s="91" t="s">
        <v>145</v>
      </c>
      <c r="C73" s="90" t="s">
        <v>439</v>
      </c>
      <c r="D73" s="89" t="s">
        <v>1388</v>
      </c>
      <c r="E73" s="89" t="s">
        <v>1159</v>
      </c>
    </row>
    <row r="74" spans="2:5" ht="12.75" hidden="1" outlineLevel="1">
      <c r="B74" s="91" t="s">
        <v>335</v>
      </c>
      <c r="C74" s="90" t="s">
        <v>283</v>
      </c>
      <c r="D74" s="89" t="s">
        <v>1388</v>
      </c>
      <c r="E74" s="89" t="s">
        <v>1458</v>
      </c>
    </row>
    <row r="75" spans="2:5" ht="12.75" hidden="1" outlineLevel="1">
      <c r="B75" s="91" t="s">
        <v>149</v>
      </c>
      <c r="C75" s="90" t="s">
        <v>277</v>
      </c>
      <c r="D75" s="89" t="s">
        <v>1388</v>
      </c>
      <c r="E75" s="89" t="s">
        <v>1164</v>
      </c>
    </row>
    <row r="76" spans="2:5" ht="12.75" hidden="1" outlineLevel="1">
      <c r="B76" s="91" t="s">
        <v>150</v>
      </c>
      <c r="C76" s="90" t="s">
        <v>278</v>
      </c>
      <c r="D76" s="89" t="s">
        <v>1388</v>
      </c>
      <c r="E76" s="89" t="s">
        <v>1423</v>
      </c>
    </row>
    <row r="77" spans="2:9" ht="12.75" hidden="1" outlineLevel="1">
      <c r="B77" s="91" t="s">
        <v>155</v>
      </c>
      <c r="C77" s="90" t="s">
        <v>351</v>
      </c>
      <c r="D77" s="89" t="s">
        <v>1388</v>
      </c>
      <c r="E77" s="89" t="s">
        <v>1393</v>
      </c>
      <c r="I77" s="262"/>
    </row>
    <row r="78" spans="2:5" ht="12.75" hidden="1" outlineLevel="1">
      <c r="B78" s="91" t="s">
        <v>155</v>
      </c>
      <c r="C78" s="90" t="s">
        <v>279</v>
      </c>
      <c r="D78" s="89" t="s">
        <v>1388</v>
      </c>
      <c r="E78" s="89" t="s">
        <v>1640</v>
      </c>
    </row>
    <row r="79" spans="2:5" ht="12.75" hidden="1" outlineLevel="1">
      <c r="B79" s="91" t="s">
        <v>147</v>
      </c>
      <c r="C79" s="90" t="s">
        <v>353</v>
      </c>
      <c r="D79" s="89" t="s">
        <v>1388</v>
      </c>
      <c r="E79" s="89" t="s">
        <v>1394</v>
      </c>
    </row>
    <row r="80" spans="2:5" ht="12.75" hidden="1" outlineLevel="1">
      <c r="B80" s="91" t="s">
        <v>337</v>
      </c>
      <c r="C80" s="90" t="s">
        <v>553</v>
      </c>
      <c r="D80" s="89" t="s">
        <v>1388</v>
      </c>
      <c r="E80" s="89" t="s">
        <v>1395</v>
      </c>
    </row>
    <row r="81" spans="2:5" ht="12.75" hidden="1" outlineLevel="1">
      <c r="B81" s="91" t="s">
        <v>156</v>
      </c>
      <c r="C81" s="90" t="s">
        <v>288</v>
      </c>
      <c r="D81" s="89" t="s">
        <v>1388</v>
      </c>
      <c r="E81" s="89" t="s">
        <v>1430</v>
      </c>
    </row>
    <row r="82" spans="2:5" ht="12.75" hidden="1" outlineLevel="1">
      <c r="B82" s="91" t="s">
        <v>332</v>
      </c>
      <c r="C82" s="90" t="s">
        <v>554</v>
      </c>
      <c r="D82" s="89" t="s">
        <v>1033</v>
      </c>
      <c r="E82" s="89" t="s">
        <v>1431</v>
      </c>
    </row>
    <row r="83" spans="2:5" ht="12.75" hidden="1" outlineLevel="1">
      <c r="B83" s="91" t="s">
        <v>143</v>
      </c>
      <c r="C83" s="90" t="s">
        <v>287</v>
      </c>
      <c r="D83" s="89" t="s">
        <v>1390</v>
      </c>
      <c r="E83" s="89" t="s">
        <v>1358</v>
      </c>
    </row>
    <row r="84" spans="2:5" ht="12.75" hidden="1" outlineLevel="1">
      <c r="B84" s="91" t="s">
        <v>154</v>
      </c>
      <c r="C84" s="90" t="s">
        <v>352</v>
      </c>
      <c r="D84" s="89" t="s">
        <v>1083</v>
      </c>
      <c r="E84" s="89" t="s">
        <v>1432</v>
      </c>
    </row>
    <row r="85" spans="2:5" ht="12.75" collapsed="1">
      <c r="B85" s="91"/>
      <c r="D85" s="89"/>
      <c r="E85" s="89"/>
    </row>
    <row r="86" s="107" customFormat="1" ht="12.75">
      <c r="B86" s="246" t="str">
        <f>CONCATENATE("Right direction =  ",COUNTIF(D55:D84,"Right direction"),CONCATENATE("   (",TEXT(COUNTIF(D55:D84,"Right direction")/ROWS(D55:D84),"#%"),")"))</f>
        <v>Right direction =  4   (13%)</v>
      </c>
    </row>
    <row r="87" s="107" customFormat="1" ht="12.75">
      <c r="B87" s="246" t="str">
        <f>CONCATENATE("Wrong direction =  ",COUNTIF(D55:D84,"Wrong direction"),CONCATENATE("   (",TEXT(COUNTIF(D55:D84,"Wrong direction")/ROWS(D55:D84),"#%"),")"))</f>
        <v>Wrong direction =  23   (77%)</v>
      </c>
    </row>
    <row r="88" s="107" customFormat="1" ht="12.75">
      <c r="B88" s="246"/>
    </row>
    <row r="89" spans="1:11" s="107" customFormat="1" ht="12.75">
      <c r="A89" s="101"/>
      <c r="C89" s="139" t="s">
        <v>1323</v>
      </c>
      <c r="I89" s="266">
        <v>2011</v>
      </c>
      <c r="J89" s="266">
        <v>2014</v>
      </c>
      <c r="K89" s="266"/>
    </row>
    <row r="90" spans="1:3" ht="12.75">
      <c r="A90" s="95"/>
      <c r="C90" s="90" t="s">
        <v>1719</v>
      </c>
    </row>
    <row r="91" spans="1:3" ht="12.75">
      <c r="A91" s="95"/>
      <c r="C91" s="90" t="s">
        <v>1720</v>
      </c>
    </row>
    <row r="92" spans="1:13" ht="12.75" hidden="1" outlineLevel="1">
      <c r="A92" s="95"/>
      <c r="F92" s="101"/>
      <c r="H92" s="262"/>
      <c r="I92" s="262"/>
      <c r="J92" s="262"/>
      <c r="K92" s="262"/>
      <c r="L92" s="262"/>
      <c r="M92" s="262"/>
    </row>
    <row r="93" spans="1:13" ht="12.75" hidden="1" outlineLevel="1">
      <c r="A93" s="95"/>
      <c r="C93" s="101">
        <v>2011</v>
      </c>
      <c r="D93" s="101">
        <v>2014</v>
      </c>
      <c r="E93" s="283" t="s">
        <v>1322</v>
      </c>
      <c r="F93" s="283"/>
      <c r="G93" s="262"/>
      <c r="H93" s="262" t="s">
        <v>1569</v>
      </c>
      <c r="I93" s="262" t="s">
        <v>1511</v>
      </c>
      <c r="J93" s="262">
        <v>20.11</v>
      </c>
      <c r="K93" s="262">
        <v>2014</v>
      </c>
      <c r="L93" s="262" t="s">
        <v>1570</v>
      </c>
      <c r="M93" s="262" t="s">
        <v>1571</v>
      </c>
    </row>
    <row r="94" spans="1:13" ht="12.75" hidden="1" outlineLevel="1">
      <c r="A94" s="95"/>
      <c r="C94" s="90" t="s">
        <v>1551</v>
      </c>
      <c r="D94" s="190" t="s">
        <v>1503</v>
      </c>
      <c r="E94" s="103">
        <f>K94-J94</f>
        <v>-0.026666666666666672</v>
      </c>
      <c r="G94" s="262" t="s">
        <v>175</v>
      </c>
      <c r="H94" s="262">
        <v>4</v>
      </c>
      <c r="I94" s="262">
        <v>4</v>
      </c>
      <c r="J94" s="262">
        <f>H94/$L$94</f>
        <v>0.16</v>
      </c>
      <c r="K94" s="262">
        <f>I94/$M$94</f>
        <v>0.13333333333333333</v>
      </c>
      <c r="L94" s="262">
        <v>25</v>
      </c>
      <c r="M94" s="262">
        <v>30</v>
      </c>
    </row>
    <row r="95" spans="1:13" ht="12.75" hidden="1" outlineLevel="1">
      <c r="A95" s="95"/>
      <c r="C95" s="90" t="s">
        <v>1552</v>
      </c>
      <c r="D95" s="190" t="s">
        <v>1504</v>
      </c>
      <c r="E95" s="103">
        <f>K95-J95</f>
        <v>-0.07333333333333325</v>
      </c>
      <c r="G95" s="262" t="s">
        <v>1500</v>
      </c>
      <c r="H95" s="262">
        <v>21</v>
      </c>
      <c r="I95" s="262">
        <v>23</v>
      </c>
      <c r="J95" s="262">
        <f>H95/$L$94</f>
        <v>0.84</v>
      </c>
      <c r="K95" s="262">
        <f>I95/$M$94</f>
        <v>0.7666666666666667</v>
      </c>
      <c r="L95" s="262"/>
      <c r="M95" s="262"/>
    </row>
    <row r="96" ht="12.75" collapsed="1"/>
    <row r="97" spans="1:2" s="112" customFormat="1" ht="15.75" customHeight="1">
      <c r="A97" s="111">
        <v>3</v>
      </c>
      <c r="B97" s="112" t="s">
        <v>30</v>
      </c>
    </row>
    <row r="98" spans="1:5" s="87" customFormat="1" ht="12.75" hidden="1" outlineLevel="1">
      <c r="A98" s="247"/>
      <c r="B98" s="185" t="s">
        <v>324</v>
      </c>
      <c r="C98" s="185" t="s">
        <v>189</v>
      </c>
      <c r="D98" s="130" t="s">
        <v>1419</v>
      </c>
      <c r="E98" s="130" t="s">
        <v>1418</v>
      </c>
    </row>
    <row r="99" spans="2:5" ht="12.75" hidden="1" outlineLevel="1">
      <c r="B99" s="91" t="s">
        <v>141</v>
      </c>
      <c r="C99" s="90" t="s">
        <v>445</v>
      </c>
      <c r="D99" s="89" t="s">
        <v>1389</v>
      </c>
      <c r="E99" s="89" t="s">
        <v>1436</v>
      </c>
    </row>
    <row r="100" spans="2:5" ht="12.75" hidden="1" outlineLevel="1">
      <c r="B100" s="91" t="s">
        <v>146</v>
      </c>
      <c r="C100" s="90" t="s">
        <v>349</v>
      </c>
      <c r="D100" s="89" t="s">
        <v>1389</v>
      </c>
      <c r="E100" s="89" t="s">
        <v>1435</v>
      </c>
    </row>
    <row r="101" spans="2:5" ht="12.75" hidden="1" outlineLevel="1">
      <c r="B101" s="91" t="s">
        <v>146</v>
      </c>
      <c r="C101" s="90" t="s">
        <v>550</v>
      </c>
      <c r="D101" s="89" t="s">
        <v>1388</v>
      </c>
      <c r="E101" s="89" t="s">
        <v>1657</v>
      </c>
    </row>
    <row r="102" spans="2:7" ht="12.75" hidden="1" outlineLevel="1">
      <c r="B102" s="89" t="s">
        <v>142</v>
      </c>
      <c r="C102" s="89" t="s">
        <v>343</v>
      </c>
      <c r="D102" s="89" t="s">
        <v>1389</v>
      </c>
      <c r="E102" s="89" t="s">
        <v>1433</v>
      </c>
      <c r="F102" s="89"/>
      <c r="G102" s="89"/>
    </row>
    <row r="103" spans="2:7" ht="12.75" hidden="1" outlineLevel="1">
      <c r="B103" s="89" t="s">
        <v>143</v>
      </c>
      <c r="C103" s="89" t="s">
        <v>287</v>
      </c>
      <c r="D103" s="89" t="s">
        <v>1389</v>
      </c>
      <c r="E103" s="89" t="s">
        <v>1434</v>
      </c>
      <c r="F103" s="89"/>
      <c r="G103" s="89"/>
    </row>
    <row r="104" spans="2:7" ht="12.75" hidden="1" outlineLevel="1">
      <c r="B104" s="89" t="s">
        <v>153</v>
      </c>
      <c r="C104" s="89" t="s">
        <v>446</v>
      </c>
      <c r="D104" s="89" t="s">
        <v>1388</v>
      </c>
      <c r="E104" s="89" t="s">
        <v>1673</v>
      </c>
      <c r="F104" s="89"/>
      <c r="G104" s="89"/>
    </row>
    <row r="105" spans="2:9" ht="12.75" hidden="1" outlineLevel="1">
      <c r="B105" s="89" t="s">
        <v>148</v>
      </c>
      <c r="C105" s="89" t="s">
        <v>552</v>
      </c>
      <c r="D105" s="89" t="s">
        <v>1389</v>
      </c>
      <c r="E105" s="89" t="s">
        <v>1437</v>
      </c>
      <c r="F105" s="89"/>
      <c r="G105" s="89"/>
      <c r="I105" s="262"/>
    </row>
    <row r="106" spans="2:7" ht="12.75" hidden="1" outlineLevel="1">
      <c r="B106" s="89" t="s">
        <v>154</v>
      </c>
      <c r="C106" s="89" t="s">
        <v>342</v>
      </c>
      <c r="D106" s="89" t="s">
        <v>1389</v>
      </c>
      <c r="E106" s="89" t="s">
        <v>1492</v>
      </c>
      <c r="F106" s="89"/>
      <c r="G106" s="89"/>
    </row>
    <row r="107" spans="2:7" ht="12.75" hidden="1" outlineLevel="1">
      <c r="B107" s="89" t="s">
        <v>336</v>
      </c>
      <c r="C107" s="89" t="s">
        <v>281</v>
      </c>
      <c r="D107" s="89" t="s">
        <v>1389</v>
      </c>
      <c r="E107" s="89" t="s">
        <v>1493</v>
      </c>
      <c r="F107" s="89"/>
      <c r="G107" s="89"/>
    </row>
    <row r="108" spans="2:7" ht="12.75" hidden="1" outlineLevel="1">
      <c r="B108" s="89" t="s">
        <v>335</v>
      </c>
      <c r="C108" s="89" t="s">
        <v>283</v>
      </c>
      <c r="D108" s="89" t="s">
        <v>1389</v>
      </c>
      <c r="E108" s="89" t="s">
        <v>1494</v>
      </c>
      <c r="F108" s="89"/>
      <c r="G108" s="89"/>
    </row>
    <row r="109" spans="2:7" ht="12.75" hidden="1" outlineLevel="1">
      <c r="B109" s="89" t="s">
        <v>149</v>
      </c>
      <c r="C109" s="89" t="s">
        <v>277</v>
      </c>
      <c r="D109" s="89" t="s">
        <v>1389</v>
      </c>
      <c r="E109" s="89" t="s">
        <v>1495</v>
      </c>
      <c r="F109" s="89"/>
      <c r="G109" s="89"/>
    </row>
    <row r="110" spans="2:5" ht="12.75" hidden="1" outlineLevel="1">
      <c r="B110" s="91" t="s">
        <v>155</v>
      </c>
      <c r="C110" s="90" t="s">
        <v>351</v>
      </c>
      <c r="D110" s="89" t="s">
        <v>1389</v>
      </c>
      <c r="E110" s="89" t="s">
        <v>1405</v>
      </c>
    </row>
    <row r="111" spans="2:5" ht="12.75" hidden="1" outlineLevel="1">
      <c r="B111" s="91" t="s">
        <v>155</v>
      </c>
      <c r="C111" s="90" t="s">
        <v>279</v>
      </c>
      <c r="D111" s="89" t="s">
        <v>1389</v>
      </c>
      <c r="E111" s="89" t="s">
        <v>1641</v>
      </c>
    </row>
    <row r="112" spans="2:5" ht="12.75" hidden="1" outlineLevel="1">
      <c r="B112" s="91" t="s">
        <v>140</v>
      </c>
      <c r="C112" s="90" t="s">
        <v>341</v>
      </c>
      <c r="D112" s="89" t="s">
        <v>1388</v>
      </c>
      <c r="E112" s="89" t="s">
        <v>852</v>
      </c>
    </row>
    <row r="113" spans="2:5" ht="12.75" hidden="1" outlineLevel="1">
      <c r="B113" s="91" t="s">
        <v>332</v>
      </c>
      <c r="C113" s="90" t="s">
        <v>554</v>
      </c>
      <c r="D113" s="89" t="s">
        <v>1388</v>
      </c>
      <c r="E113" s="89" t="s">
        <v>1406</v>
      </c>
    </row>
    <row r="114" spans="2:5" ht="12.75" hidden="1" outlineLevel="1">
      <c r="B114" s="91" t="s">
        <v>332</v>
      </c>
      <c r="C114" s="90" t="s">
        <v>436</v>
      </c>
      <c r="D114" s="89" t="s">
        <v>1388</v>
      </c>
      <c r="E114" s="89" t="s">
        <v>1407</v>
      </c>
    </row>
    <row r="115" spans="2:5" ht="12.75" hidden="1" outlineLevel="1">
      <c r="B115" s="91" t="s">
        <v>332</v>
      </c>
      <c r="C115" s="90" t="s">
        <v>286</v>
      </c>
      <c r="D115" s="89" t="s">
        <v>1388</v>
      </c>
      <c r="E115" s="89" t="s">
        <v>909</v>
      </c>
    </row>
    <row r="116" spans="2:5" ht="12.75" hidden="1" outlineLevel="1">
      <c r="B116" s="91" t="s">
        <v>143</v>
      </c>
      <c r="C116" s="90" t="s">
        <v>437</v>
      </c>
      <c r="D116" s="89" t="s">
        <v>1388</v>
      </c>
      <c r="E116" s="89" t="s">
        <v>1652</v>
      </c>
    </row>
    <row r="117" spans="2:5" ht="12.75" hidden="1" outlineLevel="1">
      <c r="B117" s="91" t="s">
        <v>144</v>
      </c>
      <c r="C117" s="90" t="s">
        <v>438</v>
      </c>
      <c r="D117" s="89" t="s">
        <v>1388</v>
      </c>
      <c r="E117" s="89" t="s">
        <v>1013</v>
      </c>
    </row>
    <row r="118" spans="2:5" ht="12.75" hidden="1" outlineLevel="1">
      <c r="B118" s="91" t="s">
        <v>153</v>
      </c>
      <c r="C118" s="90" t="s">
        <v>444</v>
      </c>
      <c r="D118" s="89" t="s">
        <v>1388</v>
      </c>
      <c r="E118" s="89" t="s">
        <v>1415</v>
      </c>
    </row>
    <row r="119" spans="2:5" ht="12.75" hidden="1" outlineLevel="1">
      <c r="B119" s="91" t="s">
        <v>139</v>
      </c>
      <c r="C119" s="90" t="s">
        <v>551</v>
      </c>
      <c r="D119" s="89" t="s">
        <v>1388</v>
      </c>
      <c r="E119" s="89" t="s">
        <v>1408</v>
      </c>
    </row>
    <row r="120" spans="2:5" ht="12.75" hidden="1" outlineLevel="1">
      <c r="B120" s="91" t="s">
        <v>154</v>
      </c>
      <c r="C120" s="90" t="s">
        <v>352</v>
      </c>
      <c r="D120" s="89" t="s">
        <v>1388</v>
      </c>
      <c r="E120" s="89" t="s">
        <v>1409</v>
      </c>
    </row>
    <row r="121" spans="2:7" ht="12.75" hidden="1" outlineLevel="1">
      <c r="B121" s="91" t="s">
        <v>334</v>
      </c>
      <c r="C121" s="90" t="s">
        <v>350</v>
      </c>
      <c r="D121" s="89" t="s">
        <v>1388</v>
      </c>
      <c r="E121" s="89" t="s">
        <v>1446</v>
      </c>
      <c r="G121" s="262"/>
    </row>
    <row r="122" spans="2:5" ht="12.75" hidden="1" outlineLevel="1">
      <c r="B122" s="91" t="s">
        <v>145</v>
      </c>
      <c r="C122" s="90" t="s">
        <v>439</v>
      </c>
      <c r="D122" s="89" t="s">
        <v>1388</v>
      </c>
      <c r="E122" s="89" t="s">
        <v>1447</v>
      </c>
    </row>
    <row r="123" spans="2:5" ht="12.75" hidden="1" outlineLevel="1">
      <c r="B123" s="91" t="s">
        <v>152</v>
      </c>
      <c r="C123" s="90" t="s">
        <v>408</v>
      </c>
      <c r="D123" s="89" t="s">
        <v>1388</v>
      </c>
      <c r="E123" s="89" t="s">
        <v>1448</v>
      </c>
    </row>
    <row r="124" spans="2:5" ht="12.75" hidden="1" outlineLevel="1">
      <c r="B124" s="91" t="s">
        <v>150</v>
      </c>
      <c r="C124" s="90" t="s">
        <v>278</v>
      </c>
      <c r="D124" s="89" t="s">
        <v>1388</v>
      </c>
      <c r="E124" s="89" t="s">
        <v>1449</v>
      </c>
    </row>
    <row r="125" spans="2:5" ht="12.75" hidden="1" outlineLevel="1">
      <c r="B125" s="91" t="s">
        <v>147</v>
      </c>
      <c r="C125" s="90" t="s">
        <v>353</v>
      </c>
      <c r="D125" s="89" t="s">
        <v>1388</v>
      </c>
      <c r="E125" s="89" t="s">
        <v>1450</v>
      </c>
    </row>
    <row r="126" spans="2:5" ht="12.75" hidden="1" outlineLevel="1">
      <c r="B126" s="91" t="s">
        <v>151</v>
      </c>
      <c r="C126" s="90" t="s">
        <v>282</v>
      </c>
      <c r="D126" s="89" t="s">
        <v>1388</v>
      </c>
      <c r="E126" s="89" t="s">
        <v>1451</v>
      </c>
    </row>
    <row r="127" spans="2:5" ht="12.75" hidden="1" outlineLevel="1">
      <c r="B127" s="91" t="s">
        <v>337</v>
      </c>
      <c r="C127" s="90" t="s">
        <v>553</v>
      </c>
      <c r="D127" s="89" t="s">
        <v>1388</v>
      </c>
      <c r="E127" s="89" t="s">
        <v>1452</v>
      </c>
    </row>
    <row r="128" spans="2:5" ht="12.75" hidden="1" outlineLevel="1">
      <c r="B128" s="91" t="s">
        <v>156</v>
      </c>
      <c r="C128" s="90" t="s">
        <v>288</v>
      </c>
      <c r="D128" s="89" t="s">
        <v>1388</v>
      </c>
      <c r="E128" s="89" t="s">
        <v>1288</v>
      </c>
    </row>
    <row r="129" ht="12.75" collapsed="1"/>
    <row r="130" s="107" customFormat="1" ht="12.75">
      <c r="B130" s="246" t="str">
        <f>CONCATENATE("Right direction =  ",COUNTIF(D99:D128,"Right direction"),CONCATENATE("   (",TEXT(COUNTIF(D99:D128,"Right direction")/ROWS(D99:D128),"#%"),")"))</f>
        <v>Right direction =  11   (37%)</v>
      </c>
    </row>
    <row r="131" s="107" customFormat="1" ht="12.75">
      <c r="B131" s="246" t="str">
        <f>CONCATENATE("Wrong direction =  ",COUNTIF(D99:D128,"Wrong direction"),CONCATENATE("   (",TEXT(COUNTIF(D99:D128,"Wrong direction")/ROWS(D99:D128),"#%"),")"))</f>
        <v>Wrong direction =  19   (63%)</v>
      </c>
    </row>
    <row r="132" s="107" customFormat="1" ht="12.75">
      <c r="B132" s="246"/>
    </row>
    <row r="133" spans="1:11" s="107" customFormat="1" ht="12.75">
      <c r="A133" s="101"/>
      <c r="C133" s="139" t="s">
        <v>1323</v>
      </c>
      <c r="I133" s="266">
        <v>2011</v>
      </c>
      <c r="J133" s="266">
        <v>2014</v>
      </c>
      <c r="K133" s="266"/>
    </row>
    <row r="134" spans="1:3" ht="12.75">
      <c r="A134" s="95"/>
      <c r="C134" s="90" t="s">
        <v>1721</v>
      </c>
    </row>
    <row r="135" spans="1:3" ht="12.75">
      <c r="A135" s="95"/>
      <c r="C135" s="90" t="s">
        <v>1722</v>
      </c>
    </row>
    <row r="136" spans="1:6" ht="12.75" hidden="1" outlineLevel="1">
      <c r="A136" s="95"/>
      <c r="F136" s="101"/>
    </row>
    <row r="137" spans="1:13" ht="12.75" hidden="1" outlineLevel="1">
      <c r="A137" s="95"/>
      <c r="C137" s="101">
        <v>2011</v>
      </c>
      <c r="D137" s="101">
        <v>2014</v>
      </c>
      <c r="E137" s="283" t="s">
        <v>1322</v>
      </c>
      <c r="F137" s="283"/>
      <c r="G137" s="262"/>
      <c r="H137" s="262" t="s">
        <v>1569</v>
      </c>
      <c r="I137" s="262" t="s">
        <v>1511</v>
      </c>
      <c r="J137" s="262">
        <v>20.11</v>
      </c>
      <c r="K137" s="262">
        <v>20.12</v>
      </c>
      <c r="L137" s="262" t="s">
        <v>1570</v>
      </c>
      <c r="M137" s="262" t="s">
        <v>1499</v>
      </c>
    </row>
    <row r="138" spans="1:13" ht="12.75" hidden="1" outlineLevel="1">
      <c r="A138" s="95"/>
      <c r="C138" s="90" t="s">
        <v>1505</v>
      </c>
      <c r="D138" s="190" t="s">
        <v>1667</v>
      </c>
      <c r="E138" s="103">
        <f>K138-J138</f>
        <v>0.062962962962963</v>
      </c>
      <c r="G138" s="262" t="s">
        <v>175</v>
      </c>
      <c r="H138" s="262">
        <v>10</v>
      </c>
      <c r="I138" s="262">
        <v>13</v>
      </c>
      <c r="J138" s="262">
        <f>H138/$L$138</f>
        <v>0.37037037037037035</v>
      </c>
      <c r="K138" s="262">
        <f>I138/$M$138</f>
        <v>0.43333333333333335</v>
      </c>
      <c r="L138" s="262">
        <v>27</v>
      </c>
      <c r="M138" s="262">
        <v>30</v>
      </c>
    </row>
    <row r="139" spans="1:13" ht="12.75" hidden="1" outlineLevel="1">
      <c r="A139" s="95"/>
      <c r="C139" s="90" t="s">
        <v>1506</v>
      </c>
      <c r="D139" s="190" t="s">
        <v>1634</v>
      </c>
      <c r="E139" s="103">
        <f>K139-J139</f>
        <v>-0.062962962962963</v>
      </c>
      <c r="G139" s="262" t="s">
        <v>1500</v>
      </c>
      <c r="H139" s="262">
        <v>17</v>
      </c>
      <c r="I139" s="262">
        <v>17</v>
      </c>
      <c r="J139" s="262">
        <f>H139/$L$138</f>
        <v>0.6296296296296297</v>
      </c>
      <c r="K139" s="262">
        <f>I139/$M$138</f>
        <v>0.5666666666666667</v>
      </c>
      <c r="L139" s="262"/>
      <c r="M139" s="262"/>
    </row>
    <row r="140" ht="12.75" collapsed="1"/>
    <row r="141" spans="1:2" s="112" customFormat="1" ht="15.75" customHeight="1">
      <c r="A141" s="111">
        <v>4</v>
      </c>
      <c r="B141" s="112" t="s">
        <v>31</v>
      </c>
    </row>
    <row r="142" spans="1:5" s="130" customFormat="1" ht="12.75" hidden="1" outlineLevel="1">
      <c r="A142" s="247"/>
      <c r="B142" s="185" t="s">
        <v>324</v>
      </c>
      <c r="C142" s="185" t="s">
        <v>189</v>
      </c>
      <c r="D142" s="130" t="s">
        <v>1419</v>
      </c>
      <c r="E142" s="130" t="s">
        <v>1418</v>
      </c>
    </row>
    <row r="143" spans="2:5" ht="12.75" hidden="1" outlineLevel="1">
      <c r="B143" s="91" t="s">
        <v>335</v>
      </c>
      <c r="C143" s="90" t="s">
        <v>283</v>
      </c>
      <c r="D143" s="89" t="s">
        <v>1389</v>
      </c>
      <c r="E143" s="89" t="s">
        <v>1453</v>
      </c>
    </row>
    <row r="144" spans="2:5" ht="12.75" hidden="1" outlineLevel="1">
      <c r="B144" s="91" t="s">
        <v>155</v>
      </c>
      <c r="C144" s="90" t="s">
        <v>351</v>
      </c>
      <c r="D144" s="89" t="s">
        <v>1389</v>
      </c>
      <c r="E144" s="89" t="s">
        <v>1521</v>
      </c>
    </row>
    <row r="145" spans="2:5" ht="12.75" hidden="1" outlineLevel="1">
      <c r="B145" s="91" t="s">
        <v>140</v>
      </c>
      <c r="C145" s="90" t="s">
        <v>341</v>
      </c>
      <c r="D145" s="89" t="s">
        <v>1388</v>
      </c>
      <c r="E145" s="89" t="s">
        <v>1522</v>
      </c>
    </row>
    <row r="146" spans="2:5" ht="12.75" hidden="1" outlineLevel="1">
      <c r="B146" s="91" t="s">
        <v>332</v>
      </c>
      <c r="C146" s="90" t="s">
        <v>554</v>
      </c>
      <c r="D146" s="89" t="s">
        <v>1388</v>
      </c>
      <c r="E146" s="89" t="s">
        <v>1523</v>
      </c>
    </row>
    <row r="147" spans="2:5" ht="12.75" hidden="1" outlineLevel="1">
      <c r="B147" s="91" t="s">
        <v>332</v>
      </c>
      <c r="C147" s="90" t="s">
        <v>436</v>
      </c>
      <c r="D147" s="89" t="s">
        <v>1388</v>
      </c>
      <c r="E147" s="89" t="s">
        <v>1524</v>
      </c>
    </row>
    <row r="148" spans="2:5" ht="12.75" hidden="1" outlineLevel="1">
      <c r="B148" s="91" t="s">
        <v>332</v>
      </c>
      <c r="C148" s="90" t="s">
        <v>286</v>
      </c>
      <c r="D148" s="89" t="s">
        <v>1388</v>
      </c>
      <c r="E148" s="89" t="s">
        <v>1525</v>
      </c>
    </row>
    <row r="149" spans="2:9" ht="12.75" hidden="1" outlineLevel="1">
      <c r="B149" s="91" t="s">
        <v>141</v>
      </c>
      <c r="C149" s="90" t="s">
        <v>445</v>
      </c>
      <c r="D149" s="89" t="s">
        <v>1388</v>
      </c>
      <c r="E149" s="89" t="s">
        <v>1424</v>
      </c>
      <c r="G149" s="262"/>
      <c r="I149" s="262"/>
    </row>
    <row r="150" spans="2:5" ht="12.75" hidden="1" outlineLevel="1">
      <c r="B150" s="91" t="s">
        <v>146</v>
      </c>
      <c r="C150" s="90" t="s">
        <v>349</v>
      </c>
      <c r="D150" s="89" t="s">
        <v>1388</v>
      </c>
      <c r="E150" s="89" t="s">
        <v>1670</v>
      </c>
    </row>
    <row r="151" spans="2:5" ht="12.75" hidden="1" outlineLevel="1">
      <c r="B151" s="91" t="s">
        <v>142</v>
      </c>
      <c r="C151" s="90" t="s">
        <v>343</v>
      </c>
      <c r="D151" s="89" t="s">
        <v>1388</v>
      </c>
      <c r="E151" s="89" t="s">
        <v>1425</v>
      </c>
    </row>
    <row r="152" spans="2:5" ht="12.75" hidden="1" outlineLevel="1">
      <c r="B152" s="91" t="s">
        <v>143</v>
      </c>
      <c r="C152" s="90" t="s">
        <v>437</v>
      </c>
      <c r="D152" s="89" t="s">
        <v>1388</v>
      </c>
      <c r="E152" s="89" t="s">
        <v>1426</v>
      </c>
    </row>
    <row r="153" spans="2:5" ht="12.75" hidden="1" outlineLevel="1">
      <c r="B153" s="91" t="s">
        <v>144</v>
      </c>
      <c r="C153" s="90" t="s">
        <v>438</v>
      </c>
      <c r="D153" s="89" t="s">
        <v>1388</v>
      </c>
      <c r="E153" s="89" t="s">
        <v>1427</v>
      </c>
    </row>
    <row r="154" spans="2:5" ht="12.75" hidden="1" outlineLevel="1">
      <c r="B154" s="91" t="s">
        <v>153</v>
      </c>
      <c r="C154" s="90" t="s">
        <v>444</v>
      </c>
      <c r="D154" s="89" t="s">
        <v>1388</v>
      </c>
      <c r="E154" s="89" t="s">
        <v>1415</v>
      </c>
    </row>
    <row r="155" spans="2:5" ht="12.75" hidden="1" outlineLevel="1">
      <c r="B155" s="91" t="s">
        <v>153</v>
      </c>
      <c r="C155" s="90" t="s">
        <v>446</v>
      </c>
      <c r="D155" s="89" t="s">
        <v>1388</v>
      </c>
      <c r="E155" s="89" t="s">
        <v>1666</v>
      </c>
    </row>
    <row r="156" spans="2:5" ht="12.75" hidden="1" outlineLevel="1">
      <c r="B156" s="91" t="s">
        <v>139</v>
      </c>
      <c r="C156" s="90" t="s">
        <v>551</v>
      </c>
      <c r="D156" s="89" t="s">
        <v>1388</v>
      </c>
      <c r="E156" s="89" t="s">
        <v>1408</v>
      </c>
    </row>
    <row r="157" spans="2:5" ht="12.75" hidden="1" outlineLevel="1">
      <c r="B157" s="91" t="s">
        <v>148</v>
      </c>
      <c r="C157" s="90" t="s">
        <v>552</v>
      </c>
      <c r="D157" s="89" t="s">
        <v>1388</v>
      </c>
      <c r="E157" s="89" t="s">
        <v>1428</v>
      </c>
    </row>
    <row r="158" spans="2:5" ht="12.75" hidden="1" outlineLevel="1">
      <c r="B158" s="91" t="s">
        <v>154</v>
      </c>
      <c r="C158" s="90" t="s">
        <v>342</v>
      </c>
      <c r="D158" s="89" t="s">
        <v>1388</v>
      </c>
      <c r="E158" s="89" t="s">
        <v>1429</v>
      </c>
    </row>
    <row r="159" spans="2:5" ht="12.75" hidden="1" outlineLevel="1">
      <c r="B159" s="91" t="s">
        <v>336</v>
      </c>
      <c r="C159" s="90" t="s">
        <v>281</v>
      </c>
      <c r="D159" s="89" t="s">
        <v>1388</v>
      </c>
      <c r="E159" s="89" t="s">
        <v>1476</v>
      </c>
    </row>
    <row r="160" spans="2:5" ht="12.75" hidden="1" outlineLevel="1">
      <c r="B160" s="91" t="s">
        <v>145</v>
      </c>
      <c r="C160" s="90" t="s">
        <v>439</v>
      </c>
      <c r="D160" s="89" t="s">
        <v>1388</v>
      </c>
      <c r="E160" s="89" t="s">
        <v>1159</v>
      </c>
    </row>
    <row r="161" spans="2:5" ht="12.75" hidden="1" outlineLevel="1">
      <c r="B161" s="91" t="s">
        <v>149</v>
      </c>
      <c r="C161" s="90" t="s">
        <v>277</v>
      </c>
      <c r="D161" s="89" t="s">
        <v>1388</v>
      </c>
      <c r="E161" s="89" t="s">
        <v>1477</v>
      </c>
    </row>
    <row r="162" spans="2:5" ht="12.75" hidden="1" outlineLevel="1">
      <c r="B162" s="91" t="s">
        <v>150</v>
      </c>
      <c r="C162" s="90" t="s">
        <v>278</v>
      </c>
      <c r="D162" s="89" t="s">
        <v>1388</v>
      </c>
      <c r="E162" s="89" t="s">
        <v>1449</v>
      </c>
    </row>
    <row r="163" spans="2:5" ht="12.75" hidden="1" outlineLevel="1">
      <c r="B163" s="91" t="s">
        <v>155</v>
      </c>
      <c r="C163" s="90" t="s">
        <v>279</v>
      </c>
      <c r="D163" s="89" t="s">
        <v>1388</v>
      </c>
      <c r="E163" s="89" t="s">
        <v>1674</v>
      </c>
    </row>
    <row r="164" spans="2:5" ht="12.75" hidden="1" outlineLevel="1">
      <c r="B164" s="91" t="s">
        <v>147</v>
      </c>
      <c r="C164" s="90" t="s">
        <v>353</v>
      </c>
      <c r="D164" s="89" t="s">
        <v>1388</v>
      </c>
      <c r="E164" s="89" t="s">
        <v>1478</v>
      </c>
    </row>
    <row r="165" spans="2:5" ht="12.75" hidden="1" outlineLevel="1">
      <c r="B165" s="91" t="s">
        <v>151</v>
      </c>
      <c r="C165" s="90" t="s">
        <v>282</v>
      </c>
      <c r="D165" s="89" t="s">
        <v>1388</v>
      </c>
      <c r="E165" s="89" t="s">
        <v>1479</v>
      </c>
    </row>
    <row r="166" spans="2:7" ht="12.75" hidden="1" outlineLevel="1">
      <c r="B166" s="91" t="s">
        <v>337</v>
      </c>
      <c r="C166" s="90" t="s">
        <v>553</v>
      </c>
      <c r="D166" s="89" t="s">
        <v>1388</v>
      </c>
      <c r="E166" s="89" t="s">
        <v>1480</v>
      </c>
      <c r="G166" s="262"/>
    </row>
    <row r="167" spans="2:5" ht="12.75" hidden="1" outlineLevel="1">
      <c r="B167" s="91" t="s">
        <v>156</v>
      </c>
      <c r="C167" s="90" t="s">
        <v>288</v>
      </c>
      <c r="D167" s="89" t="s">
        <v>1388</v>
      </c>
      <c r="E167" s="89" t="s">
        <v>1481</v>
      </c>
    </row>
    <row r="168" spans="2:5" ht="12.75" hidden="1" outlineLevel="1">
      <c r="B168" s="91" t="s">
        <v>143</v>
      </c>
      <c r="C168" s="90" t="s">
        <v>287</v>
      </c>
      <c r="D168" s="89" t="s">
        <v>1358</v>
      </c>
      <c r="E168" s="89" t="s">
        <v>1390</v>
      </c>
    </row>
    <row r="169" spans="2:5" ht="12.75" hidden="1" outlineLevel="1">
      <c r="B169" s="91" t="s">
        <v>154</v>
      </c>
      <c r="C169" s="90" t="s">
        <v>352</v>
      </c>
      <c r="D169" s="89" t="s">
        <v>1083</v>
      </c>
      <c r="E169" s="89" t="s">
        <v>1432</v>
      </c>
    </row>
    <row r="170" spans="2:5" ht="12.75" hidden="1" outlineLevel="1">
      <c r="B170" s="91" t="s">
        <v>146</v>
      </c>
      <c r="C170" s="90" t="s">
        <v>550</v>
      </c>
      <c r="D170" s="89" t="s">
        <v>166</v>
      </c>
      <c r="E170" s="89" t="s">
        <v>1482</v>
      </c>
    </row>
    <row r="171" spans="2:5" ht="12.75" hidden="1" outlineLevel="1">
      <c r="B171" s="91" t="s">
        <v>334</v>
      </c>
      <c r="C171" s="90" t="s">
        <v>350</v>
      </c>
      <c r="D171" s="89" t="s">
        <v>166</v>
      </c>
      <c r="E171" s="89" t="s">
        <v>1152</v>
      </c>
    </row>
    <row r="172" spans="2:5" ht="12.75" hidden="1" outlineLevel="1">
      <c r="B172" s="91" t="s">
        <v>152</v>
      </c>
      <c r="C172" s="90" t="s">
        <v>408</v>
      </c>
      <c r="D172" s="89" t="s">
        <v>166</v>
      </c>
      <c r="E172" s="89" t="s">
        <v>1483</v>
      </c>
    </row>
    <row r="173" ht="12.75" collapsed="1">
      <c r="B173" s="91"/>
    </row>
    <row r="174" s="107" customFormat="1" ht="12.75">
      <c r="B174" s="246" t="str">
        <f>CONCATENATE("Right direction =  ",COUNTIF(D143:D172,"Right direction"),CONCATENATE("   (",TEXT(COUNTIF(D143:D172,"Right direction")/ROWS(D143:D172),"#%"),")"))</f>
        <v>Right direction =  2   (7%)</v>
      </c>
    </row>
    <row r="175" s="107" customFormat="1" ht="12.75">
      <c r="B175" s="246" t="str">
        <f>CONCATENATE("Wrong direction =  ",COUNTIF(D143:D172,"Wrong direction"),CONCATENATE("   (",TEXT(COUNTIF(D143:D172,"Wrong direction")/ROWS(D143:D172),"#%"),")"))</f>
        <v>Wrong direction =  23   (77%)</v>
      </c>
    </row>
    <row r="176" s="107" customFormat="1" ht="12.75">
      <c r="B176" s="246"/>
    </row>
    <row r="177" spans="1:11" s="107" customFormat="1" ht="12.75">
      <c r="A177" s="101"/>
      <c r="C177" s="139" t="s">
        <v>1323</v>
      </c>
      <c r="I177" s="266">
        <v>2011</v>
      </c>
      <c r="J177" s="266">
        <v>2014</v>
      </c>
      <c r="K177" s="266"/>
    </row>
    <row r="178" spans="1:3" ht="12.75">
      <c r="A178" s="95"/>
      <c r="C178" s="90" t="s">
        <v>1723</v>
      </c>
    </row>
    <row r="179" spans="1:3" ht="12.75">
      <c r="A179" s="95"/>
      <c r="C179" s="90" t="s">
        <v>1695</v>
      </c>
    </row>
    <row r="180" spans="1:6" ht="12.75" hidden="1" outlineLevel="1">
      <c r="A180" s="95"/>
      <c r="F180" s="101"/>
    </row>
    <row r="181" spans="1:14" ht="12.75" hidden="1" outlineLevel="1">
      <c r="A181" s="95"/>
      <c r="C181" s="101">
        <v>2011</v>
      </c>
      <c r="D181" s="101">
        <v>2014</v>
      </c>
      <c r="E181" s="283" t="s">
        <v>1322</v>
      </c>
      <c r="F181" s="283"/>
      <c r="G181" s="262"/>
      <c r="H181" s="262" t="s">
        <v>1569</v>
      </c>
      <c r="I181" s="262" t="s">
        <v>1511</v>
      </c>
      <c r="J181" s="262">
        <v>20.11</v>
      </c>
      <c r="K181" s="262">
        <v>2014</v>
      </c>
      <c r="L181" s="262" t="s">
        <v>1570</v>
      </c>
      <c r="M181" s="262" t="s">
        <v>1571</v>
      </c>
      <c r="N181" s="262"/>
    </row>
    <row r="182" spans="1:14" ht="12.75" hidden="1" outlineLevel="1">
      <c r="A182" s="95"/>
      <c r="C182" s="90" t="s">
        <v>1553</v>
      </c>
      <c r="D182" s="190" t="s">
        <v>1616</v>
      </c>
      <c r="E182" s="103">
        <f>K182-J182</f>
        <v>-0.04444444444444444</v>
      </c>
      <c r="G182" s="262" t="s">
        <v>175</v>
      </c>
      <c r="H182" s="262">
        <v>3</v>
      </c>
      <c r="I182" s="262">
        <v>2</v>
      </c>
      <c r="J182" s="262">
        <f>H182/$L$182</f>
        <v>0.1111111111111111</v>
      </c>
      <c r="K182" s="262">
        <f>I182/$M$182</f>
        <v>0.06666666666666667</v>
      </c>
      <c r="L182" s="262">
        <v>27</v>
      </c>
      <c r="M182" s="262">
        <v>30</v>
      </c>
      <c r="N182" s="262"/>
    </row>
    <row r="183" spans="1:14" ht="12.75" hidden="1" outlineLevel="1">
      <c r="A183" s="95"/>
      <c r="C183" s="90" t="s">
        <v>1554</v>
      </c>
      <c r="D183" s="190" t="s">
        <v>1504</v>
      </c>
      <c r="E183" s="103">
        <f>K183-J183</f>
        <v>-0.12222222222222212</v>
      </c>
      <c r="G183" s="262" t="s">
        <v>1500</v>
      </c>
      <c r="H183" s="262">
        <v>24</v>
      </c>
      <c r="I183" s="262">
        <v>23</v>
      </c>
      <c r="J183" s="262">
        <f>H183/$L$182</f>
        <v>0.8888888888888888</v>
      </c>
      <c r="K183" s="262">
        <f>I183/$M$182</f>
        <v>0.7666666666666667</v>
      </c>
      <c r="L183" s="262"/>
      <c r="M183" s="262"/>
      <c r="N183" s="262"/>
    </row>
    <row r="184" s="89" customFormat="1" ht="12.75" collapsed="1">
      <c r="A184" s="199"/>
    </row>
    <row r="185" spans="1:2" s="112" customFormat="1" ht="15.75" customHeight="1">
      <c r="A185" s="111">
        <v>5</v>
      </c>
      <c r="B185" s="112" t="s">
        <v>32</v>
      </c>
    </row>
    <row r="186" spans="2:4" s="130" customFormat="1" ht="12.75" hidden="1" outlineLevel="1">
      <c r="B186" s="185" t="s">
        <v>324</v>
      </c>
      <c r="C186" s="185" t="s">
        <v>189</v>
      </c>
      <c r="D186" s="130" t="s">
        <v>1484</v>
      </c>
    </row>
    <row r="187" spans="2:4" ht="12.75" hidden="1" outlineLevel="1">
      <c r="B187" s="91" t="s">
        <v>153</v>
      </c>
      <c r="C187" s="90" t="s">
        <v>444</v>
      </c>
      <c r="D187" s="89" t="s">
        <v>1485</v>
      </c>
    </row>
    <row r="188" spans="2:4" ht="12.75" hidden="1" outlineLevel="1">
      <c r="B188" s="91" t="s">
        <v>147</v>
      </c>
      <c r="C188" s="90" t="s">
        <v>353</v>
      </c>
      <c r="D188" s="89" t="s">
        <v>179</v>
      </c>
    </row>
    <row r="189" spans="2:4" ht="12.75" hidden="1" outlineLevel="1">
      <c r="B189" s="91" t="s">
        <v>140</v>
      </c>
      <c r="C189" s="90" t="s">
        <v>341</v>
      </c>
      <c r="D189" s="89" t="s">
        <v>165</v>
      </c>
    </row>
    <row r="190" spans="2:4" ht="12.75" hidden="1" outlineLevel="1">
      <c r="B190" s="91" t="s">
        <v>332</v>
      </c>
      <c r="C190" s="90" t="s">
        <v>554</v>
      </c>
      <c r="D190" s="89" t="s">
        <v>165</v>
      </c>
    </row>
    <row r="191" spans="2:4" ht="12.75" hidden="1" outlineLevel="1">
      <c r="B191" s="91" t="s">
        <v>332</v>
      </c>
      <c r="C191" s="90" t="s">
        <v>436</v>
      </c>
      <c r="D191" s="89" t="s">
        <v>165</v>
      </c>
    </row>
    <row r="192" spans="2:4" ht="12.75" hidden="1" outlineLevel="1">
      <c r="B192" s="91" t="s">
        <v>332</v>
      </c>
      <c r="C192" s="90" t="s">
        <v>286</v>
      </c>
      <c r="D192" s="89" t="s">
        <v>165</v>
      </c>
    </row>
    <row r="193" spans="2:4" ht="12.75" hidden="1" outlineLevel="1">
      <c r="B193" s="91" t="s">
        <v>141</v>
      </c>
      <c r="C193" s="90" t="s">
        <v>445</v>
      </c>
      <c r="D193" s="89" t="s">
        <v>165</v>
      </c>
    </row>
    <row r="194" spans="2:7" ht="12.75" hidden="1" outlineLevel="1">
      <c r="B194" s="91" t="s">
        <v>146</v>
      </c>
      <c r="C194" s="90" t="s">
        <v>349</v>
      </c>
      <c r="D194" s="89" t="s">
        <v>165</v>
      </c>
      <c r="G194" s="262"/>
    </row>
    <row r="195" spans="2:4" ht="12.75" hidden="1" outlineLevel="1">
      <c r="B195" s="91" t="s">
        <v>146</v>
      </c>
      <c r="C195" s="90" t="s">
        <v>550</v>
      </c>
      <c r="D195" s="89" t="s">
        <v>165</v>
      </c>
    </row>
    <row r="196" spans="2:4" ht="12.75" hidden="1" outlineLevel="1">
      <c r="B196" s="91" t="s">
        <v>142</v>
      </c>
      <c r="C196" s="90" t="s">
        <v>343</v>
      </c>
      <c r="D196" s="89" t="s">
        <v>165</v>
      </c>
    </row>
    <row r="197" spans="2:4" ht="12.75" hidden="1" outlineLevel="1">
      <c r="B197" s="91" t="s">
        <v>143</v>
      </c>
      <c r="C197" s="90" t="s">
        <v>437</v>
      </c>
      <c r="D197" s="89" t="s">
        <v>165</v>
      </c>
    </row>
    <row r="198" spans="2:4" ht="12.75" hidden="1" outlineLevel="1">
      <c r="B198" s="91" t="s">
        <v>143</v>
      </c>
      <c r="C198" s="90" t="s">
        <v>287</v>
      </c>
      <c r="D198" s="89" t="s">
        <v>165</v>
      </c>
    </row>
    <row r="199" spans="2:4" ht="12.75" hidden="1" outlineLevel="1">
      <c r="B199" s="91" t="s">
        <v>144</v>
      </c>
      <c r="C199" s="90" t="s">
        <v>438</v>
      </c>
      <c r="D199" s="89" t="s">
        <v>165</v>
      </c>
    </row>
    <row r="200" spans="2:4" ht="12.75" hidden="1" outlineLevel="1">
      <c r="B200" s="91" t="s">
        <v>153</v>
      </c>
      <c r="C200" s="90" t="s">
        <v>446</v>
      </c>
      <c r="D200" s="89" t="s">
        <v>165</v>
      </c>
    </row>
    <row r="201" spans="2:4" ht="12.75" hidden="1" outlineLevel="1">
      <c r="B201" s="91" t="s">
        <v>139</v>
      </c>
      <c r="C201" s="90" t="s">
        <v>551</v>
      </c>
      <c r="D201" s="89" t="s">
        <v>165</v>
      </c>
    </row>
    <row r="202" spans="2:4" ht="12.75" hidden="1" outlineLevel="1">
      <c r="B202" s="91" t="s">
        <v>154</v>
      </c>
      <c r="C202" s="90" t="s">
        <v>352</v>
      </c>
      <c r="D202" s="89" t="s">
        <v>165</v>
      </c>
    </row>
    <row r="203" spans="2:4" ht="12.75" hidden="1" outlineLevel="1">
      <c r="B203" s="91" t="s">
        <v>145</v>
      </c>
      <c r="C203" s="90" t="s">
        <v>439</v>
      </c>
      <c r="D203" s="89" t="s">
        <v>165</v>
      </c>
    </row>
    <row r="204" spans="2:4" ht="12.75" hidden="1" outlineLevel="1">
      <c r="B204" s="91" t="s">
        <v>335</v>
      </c>
      <c r="C204" s="90" t="s">
        <v>283</v>
      </c>
      <c r="D204" s="89" t="s">
        <v>165</v>
      </c>
    </row>
    <row r="205" spans="2:4" ht="12.75" hidden="1" outlineLevel="1">
      <c r="B205" s="91" t="s">
        <v>152</v>
      </c>
      <c r="C205" s="90" t="s">
        <v>408</v>
      </c>
      <c r="D205" s="89" t="s">
        <v>165</v>
      </c>
    </row>
    <row r="206" spans="2:4" ht="12.75" hidden="1" outlineLevel="1">
      <c r="B206" s="91" t="s">
        <v>149</v>
      </c>
      <c r="C206" s="90" t="s">
        <v>277</v>
      </c>
      <c r="D206" s="89" t="s">
        <v>165</v>
      </c>
    </row>
    <row r="207" spans="2:4" ht="12.75" hidden="1" outlineLevel="1">
      <c r="B207" s="91" t="s">
        <v>150</v>
      </c>
      <c r="C207" s="90" t="s">
        <v>278</v>
      </c>
      <c r="D207" s="89" t="s">
        <v>165</v>
      </c>
    </row>
    <row r="208" spans="2:4" ht="12.75" hidden="1" outlineLevel="1">
      <c r="B208" s="91" t="s">
        <v>155</v>
      </c>
      <c r="C208" s="90" t="s">
        <v>279</v>
      </c>
      <c r="D208" s="89" t="s">
        <v>165</v>
      </c>
    </row>
    <row r="209" spans="2:4" ht="12.75" hidden="1" outlineLevel="1">
      <c r="B209" s="91" t="s">
        <v>151</v>
      </c>
      <c r="C209" s="90" t="s">
        <v>282</v>
      </c>
      <c r="D209" s="89" t="s">
        <v>165</v>
      </c>
    </row>
    <row r="210" spans="2:4" ht="12.75" hidden="1" outlineLevel="1">
      <c r="B210" s="91" t="s">
        <v>148</v>
      </c>
      <c r="C210" s="90" t="s">
        <v>552</v>
      </c>
      <c r="D210" s="89" t="s">
        <v>178</v>
      </c>
    </row>
    <row r="211" spans="2:4" ht="12.75" hidden="1" outlineLevel="1">
      <c r="B211" s="91" t="s">
        <v>154</v>
      </c>
      <c r="C211" s="90" t="s">
        <v>342</v>
      </c>
      <c r="D211" s="89" t="s">
        <v>178</v>
      </c>
    </row>
    <row r="212" spans="2:7" ht="12.75" hidden="1" outlineLevel="1">
      <c r="B212" s="91" t="s">
        <v>336</v>
      </c>
      <c r="C212" s="90" t="s">
        <v>281</v>
      </c>
      <c r="D212" s="89" t="s">
        <v>178</v>
      </c>
      <c r="G212" s="262"/>
    </row>
    <row r="213" spans="2:4" ht="12.75" hidden="1" outlineLevel="1">
      <c r="B213" s="91" t="s">
        <v>334</v>
      </c>
      <c r="C213" s="90" t="s">
        <v>350</v>
      </c>
      <c r="D213" s="89" t="s">
        <v>178</v>
      </c>
    </row>
    <row r="214" spans="2:4" ht="12.75" hidden="1" outlineLevel="1">
      <c r="B214" s="91" t="s">
        <v>155</v>
      </c>
      <c r="C214" s="90" t="s">
        <v>351</v>
      </c>
      <c r="D214" s="89" t="s">
        <v>178</v>
      </c>
    </row>
    <row r="215" spans="2:4" ht="12.75" hidden="1" outlineLevel="1">
      <c r="B215" s="91" t="s">
        <v>337</v>
      </c>
      <c r="C215" s="90" t="s">
        <v>553</v>
      </c>
      <c r="D215" s="89" t="s">
        <v>178</v>
      </c>
    </row>
    <row r="216" spans="2:4" ht="12.75" hidden="1" outlineLevel="1">
      <c r="B216" s="91" t="s">
        <v>156</v>
      </c>
      <c r="C216" s="90" t="s">
        <v>288</v>
      </c>
      <c r="D216" s="89" t="s">
        <v>178</v>
      </c>
    </row>
    <row r="217" ht="12.75" collapsed="1">
      <c r="B217" s="91"/>
    </row>
    <row r="218" s="107" customFormat="1" ht="12.75">
      <c r="B218" s="246" t="str">
        <f>CONCATENATE("Completely different =  ",COUNTIF(D187:D216,"Completely different compared to now"),CONCATENATE("   (",TEXT(COUNTIF(D187:D216,"Completely different compared to now")/ROWS(D187:D216),"#%"),")"))</f>
        <v>Completely different =  1   (3%)</v>
      </c>
    </row>
    <row r="219" s="107" customFormat="1" ht="12.75">
      <c r="B219" s="246" t="str">
        <f>CONCATENATE("Very different =  ",COUNTIF(D187:D216,"Very different compared to now"),CONCATENATE("   (",TEXT(COUNTIF(D187:D216,"Very different compared to now")/ROWS(D187:D216),"#%"),")"))</f>
        <v>Very different =  1   (3%)</v>
      </c>
    </row>
    <row r="220" s="107" customFormat="1" ht="12.75">
      <c r="B220" s="246" t="str">
        <f>CONCATENATE("Somewhat different =   ",COUNTIF(D187:D216,"Somewhat different compared to now"),CONCATENATE("  (",TEXT(COUNTIF(D187:D216,"Somewhat different compared to now")/ROWS(D187:D216),"#%"),")"))</f>
        <v>Somewhat different =   21  (70%)</v>
      </c>
    </row>
    <row r="221" s="107" customFormat="1" ht="12.75">
      <c r="B221" s="246" t="str">
        <f>CONCATENATE("Not at all different =  ",COUNTIF(D187:D216,"Not at all different compared to now"),CONCATENATE("   (",TEXT(COUNTIF(D187:D216,"Not at all different compared to now")/ROWS(D187:D216),"#%"),")"))</f>
        <v>Not at all different =  7   (23%)</v>
      </c>
    </row>
    <row r="222" spans="2:13" s="107" customFormat="1" ht="12.75">
      <c r="B222" s="246"/>
      <c r="G222" s="266"/>
      <c r="H222" s="266"/>
      <c r="I222" s="266"/>
      <c r="J222" s="266"/>
      <c r="K222" s="266"/>
      <c r="L222" s="266"/>
      <c r="M222" s="266"/>
    </row>
    <row r="223" spans="1:13" s="107" customFormat="1" ht="12.75">
      <c r="A223" s="101"/>
      <c r="C223" s="139" t="s">
        <v>1323</v>
      </c>
      <c r="G223" s="266"/>
      <c r="H223" s="266"/>
      <c r="I223" s="266">
        <v>2011</v>
      </c>
      <c r="J223" s="266">
        <v>2014</v>
      </c>
      <c r="K223" s="266"/>
      <c r="L223" s="266"/>
      <c r="M223" s="266"/>
    </row>
    <row r="224" spans="1:13" ht="12.75" hidden="1" outlineLevel="1">
      <c r="A224" s="95"/>
      <c r="C224" s="106">
        <v>2011</v>
      </c>
      <c r="D224" s="106">
        <v>2014</v>
      </c>
      <c r="E224" s="278" t="s">
        <v>1322</v>
      </c>
      <c r="F224" s="278"/>
      <c r="G224" s="262"/>
      <c r="H224" s="262" t="s">
        <v>1569</v>
      </c>
      <c r="I224" s="262" t="s">
        <v>1511</v>
      </c>
      <c r="J224" s="262">
        <v>20.11</v>
      </c>
      <c r="K224" s="262">
        <v>20.14</v>
      </c>
      <c r="L224" s="262" t="s">
        <v>1570</v>
      </c>
      <c r="M224" s="262" t="s">
        <v>1571</v>
      </c>
    </row>
    <row r="225" spans="1:13" ht="12.75" hidden="1" outlineLevel="1">
      <c r="A225" s="95"/>
      <c r="C225" s="147" t="s">
        <v>1083</v>
      </c>
      <c r="D225" s="147" t="s">
        <v>1562</v>
      </c>
      <c r="E225" s="189" t="s">
        <v>1083</v>
      </c>
      <c r="F225" s="106"/>
      <c r="G225" s="262" t="s">
        <v>1555</v>
      </c>
      <c r="H225" s="262" t="s">
        <v>1083</v>
      </c>
      <c r="I225" s="262">
        <v>1</v>
      </c>
      <c r="J225" s="262" t="e">
        <f>H225/$L$225</f>
        <v>#VALUE!</v>
      </c>
      <c r="K225" s="262">
        <f>I225/$M$225</f>
        <v>0.03333333333333333</v>
      </c>
      <c r="L225" s="262">
        <v>27</v>
      </c>
      <c r="M225" s="262">
        <v>30</v>
      </c>
    </row>
    <row r="226" spans="1:13" ht="12.75" hidden="1" outlineLevel="1">
      <c r="A226" s="95"/>
      <c r="C226" s="147" t="s">
        <v>1559</v>
      </c>
      <c r="D226" s="147" t="s">
        <v>1563</v>
      </c>
      <c r="E226" s="189">
        <f>K226-J226</f>
        <v>-0.07777777777777778</v>
      </c>
      <c r="F226" s="147"/>
      <c r="G226" s="262" t="s">
        <v>1557</v>
      </c>
      <c r="H226" s="262">
        <v>3</v>
      </c>
      <c r="I226" s="262">
        <v>1</v>
      </c>
      <c r="J226" s="262">
        <f>H226/$L$225</f>
        <v>0.1111111111111111</v>
      </c>
      <c r="K226" s="262">
        <f>I226/$M$225</f>
        <v>0.03333333333333333</v>
      </c>
      <c r="L226" s="262"/>
      <c r="M226" s="262"/>
    </row>
    <row r="227" spans="1:13" ht="12.75" hidden="1" outlineLevel="1">
      <c r="A227" s="95"/>
      <c r="C227" s="147" t="s">
        <v>1560</v>
      </c>
      <c r="D227" s="147" t="s">
        <v>1617</v>
      </c>
      <c r="E227" s="189">
        <f>K227-J227</f>
        <v>0.0703703703703703</v>
      </c>
      <c r="F227" s="147"/>
      <c r="G227" s="262" t="s">
        <v>1556</v>
      </c>
      <c r="H227" s="262">
        <v>17</v>
      </c>
      <c r="I227" s="262">
        <v>21</v>
      </c>
      <c r="J227" s="262">
        <f>H227/$L$225</f>
        <v>0.6296296296296297</v>
      </c>
      <c r="K227" s="262">
        <f>I227/$M$225</f>
        <v>0.7</v>
      </c>
      <c r="L227" s="262"/>
      <c r="M227" s="262"/>
    </row>
    <row r="228" spans="1:13" ht="12.75" hidden="1" outlineLevel="1">
      <c r="A228" s="95"/>
      <c r="C228" s="147" t="s">
        <v>1561</v>
      </c>
      <c r="D228" s="147" t="s">
        <v>1618</v>
      </c>
      <c r="E228" s="189">
        <f>K228-J228</f>
        <v>0.011111111111111127</v>
      </c>
      <c r="F228" s="147"/>
      <c r="G228" s="262" t="s">
        <v>1558</v>
      </c>
      <c r="H228" s="262">
        <v>6</v>
      </c>
      <c r="I228" s="262">
        <v>7</v>
      </c>
      <c r="J228" s="262">
        <f>H228/$L$225</f>
        <v>0.2222222222222222</v>
      </c>
      <c r="K228" s="262">
        <f>I228/$M$225</f>
        <v>0.23333333333333334</v>
      </c>
      <c r="L228" s="262"/>
      <c r="M228" s="262"/>
    </row>
    <row r="229" ht="12.75" collapsed="1"/>
    <row r="230" spans="1:2" s="112" customFormat="1" ht="15.75" customHeight="1">
      <c r="A230" s="111">
        <v>6</v>
      </c>
      <c r="B230" s="112" t="s">
        <v>33</v>
      </c>
    </row>
    <row r="231" spans="2:4" s="130" customFormat="1" ht="12.75" hidden="1" outlineLevel="1">
      <c r="B231" s="185" t="s">
        <v>324</v>
      </c>
      <c r="C231" s="185" t="s">
        <v>189</v>
      </c>
      <c r="D231" s="130" t="s">
        <v>1486</v>
      </c>
    </row>
    <row r="232" spans="2:4" ht="12.75" hidden="1" outlineLevel="1">
      <c r="B232" s="91" t="s">
        <v>144</v>
      </c>
      <c r="C232" s="90" t="s">
        <v>438</v>
      </c>
      <c r="D232" s="89" t="s">
        <v>1485</v>
      </c>
    </row>
    <row r="233" spans="2:4" ht="12.75" hidden="1" outlineLevel="1">
      <c r="B233" s="91" t="s">
        <v>151</v>
      </c>
      <c r="C233" s="90" t="s">
        <v>282</v>
      </c>
      <c r="D233" s="89" t="s">
        <v>1485</v>
      </c>
    </row>
    <row r="234" spans="2:4" ht="12.75" hidden="1" outlineLevel="1">
      <c r="B234" s="91" t="s">
        <v>140</v>
      </c>
      <c r="C234" s="90" t="s">
        <v>341</v>
      </c>
      <c r="D234" s="89" t="s">
        <v>179</v>
      </c>
    </row>
    <row r="235" spans="2:4" ht="12.75" hidden="1" outlineLevel="1">
      <c r="B235" s="91" t="s">
        <v>146</v>
      </c>
      <c r="C235" s="90" t="s">
        <v>349</v>
      </c>
      <c r="D235" s="89" t="s">
        <v>179</v>
      </c>
    </row>
    <row r="236" spans="2:4" ht="12.75" hidden="1" outlineLevel="1">
      <c r="B236" s="91" t="s">
        <v>143</v>
      </c>
      <c r="C236" s="90" t="s">
        <v>437</v>
      </c>
      <c r="D236" s="89" t="s">
        <v>179</v>
      </c>
    </row>
    <row r="237" spans="2:4" ht="12.75" hidden="1" outlineLevel="1">
      <c r="B237" s="91" t="s">
        <v>153</v>
      </c>
      <c r="C237" s="90" t="s">
        <v>446</v>
      </c>
      <c r="D237" s="89" t="s">
        <v>179</v>
      </c>
    </row>
    <row r="238" spans="2:4" ht="12.75" hidden="1" outlineLevel="1">
      <c r="B238" s="91" t="s">
        <v>334</v>
      </c>
      <c r="C238" s="90" t="s">
        <v>350</v>
      </c>
      <c r="D238" s="89" t="s">
        <v>179</v>
      </c>
    </row>
    <row r="239" spans="2:4" ht="12.75" hidden="1" outlineLevel="1">
      <c r="B239" s="91" t="s">
        <v>145</v>
      </c>
      <c r="C239" s="90" t="s">
        <v>439</v>
      </c>
      <c r="D239" s="89" t="s">
        <v>179</v>
      </c>
    </row>
    <row r="240" spans="2:7" ht="12.75" hidden="1" outlineLevel="1">
      <c r="B240" s="91" t="s">
        <v>152</v>
      </c>
      <c r="C240" s="90" t="s">
        <v>408</v>
      </c>
      <c r="D240" s="89" t="s">
        <v>179</v>
      </c>
      <c r="G240" s="262"/>
    </row>
    <row r="241" spans="2:4" ht="12.75" hidden="1" outlineLevel="1">
      <c r="B241" s="91" t="s">
        <v>147</v>
      </c>
      <c r="C241" s="90" t="s">
        <v>353</v>
      </c>
      <c r="D241" s="89" t="s">
        <v>179</v>
      </c>
    </row>
    <row r="242" spans="2:4" ht="12.75" hidden="1" outlineLevel="1">
      <c r="B242" s="91" t="s">
        <v>332</v>
      </c>
      <c r="C242" s="90" t="s">
        <v>554</v>
      </c>
      <c r="D242" s="89" t="s">
        <v>165</v>
      </c>
    </row>
    <row r="243" spans="2:4" ht="12.75" hidden="1" outlineLevel="1">
      <c r="B243" s="91" t="s">
        <v>332</v>
      </c>
      <c r="C243" s="90" t="s">
        <v>436</v>
      </c>
      <c r="D243" s="89" t="s">
        <v>165</v>
      </c>
    </row>
    <row r="244" spans="2:4" ht="12.75" hidden="1" outlineLevel="1">
      <c r="B244" s="91" t="s">
        <v>332</v>
      </c>
      <c r="C244" s="90" t="s">
        <v>286</v>
      </c>
      <c r="D244" s="89" t="s">
        <v>165</v>
      </c>
    </row>
    <row r="245" spans="2:4" ht="12.75" hidden="1" outlineLevel="1">
      <c r="B245" s="91" t="s">
        <v>141</v>
      </c>
      <c r="C245" s="90" t="s">
        <v>445</v>
      </c>
      <c r="D245" s="89" t="s">
        <v>165</v>
      </c>
    </row>
    <row r="246" spans="2:4" ht="12.75" hidden="1" outlineLevel="1">
      <c r="B246" s="91" t="s">
        <v>146</v>
      </c>
      <c r="C246" s="90" t="s">
        <v>550</v>
      </c>
      <c r="D246" s="89" t="s">
        <v>165</v>
      </c>
    </row>
    <row r="247" spans="2:4" ht="12.75" hidden="1" outlineLevel="1">
      <c r="B247" s="91" t="s">
        <v>142</v>
      </c>
      <c r="C247" s="90" t="s">
        <v>343</v>
      </c>
      <c r="D247" s="89" t="s">
        <v>165</v>
      </c>
    </row>
    <row r="248" spans="2:4" ht="12.75" hidden="1" outlineLevel="1">
      <c r="B248" s="91" t="s">
        <v>143</v>
      </c>
      <c r="C248" s="90" t="s">
        <v>287</v>
      </c>
      <c r="D248" s="89" t="s">
        <v>165</v>
      </c>
    </row>
    <row r="249" spans="2:4" ht="12.75" hidden="1" outlineLevel="1">
      <c r="B249" s="91" t="s">
        <v>153</v>
      </c>
      <c r="C249" s="90" t="s">
        <v>444</v>
      </c>
      <c r="D249" s="89" t="s">
        <v>165</v>
      </c>
    </row>
    <row r="250" spans="2:4" ht="12.75" hidden="1" outlineLevel="1">
      <c r="B250" s="91" t="s">
        <v>139</v>
      </c>
      <c r="C250" s="90" t="s">
        <v>551</v>
      </c>
      <c r="D250" s="89" t="s">
        <v>165</v>
      </c>
    </row>
    <row r="251" spans="2:4" ht="12.75" hidden="1" outlineLevel="1">
      <c r="B251" s="91" t="s">
        <v>148</v>
      </c>
      <c r="C251" s="90" t="s">
        <v>552</v>
      </c>
      <c r="D251" s="89" t="s">
        <v>165</v>
      </c>
    </row>
    <row r="252" spans="2:4" ht="12.75" hidden="1" outlineLevel="1">
      <c r="B252" s="91" t="s">
        <v>154</v>
      </c>
      <c r="C252" s="90" t="s">
        <v>352</v>
      </c>
      <c r="D252" s="89" t="s">
        <v>165</v>
      </c>
    </row>
    <row r="253" spans="2:4" ht="12.75" hidden="1" outlineLevel="1">
      <c r="B253" s="91" t="s">
        <v>336</v>
      </c>
      <c r="C253" s="90" t="s">
        <v>281</v>
      </c>
      <c r="D253" s="89" t="s">
        <v>165</v>
      </c>
    </row>
    <row r="254" spans="2:4" ht="12.75" hidden="1" outlineLevel="1">
      <c r="B254" s="91" t="s">
        <v>335</v>
      </c>
      <c r="C254" s="90" t="s">
        <v>283</v>
      </c>
      <c r="D254" s="89" t="s">
        <v>165</v>
      </c>
    </row>
    <row r="255" spans="2:4" ht="12.75" hidden="1" outlineLevel="1">
      <c r="B255" s="91" t="s">
        <v>149</v>
      </c>
      <c r="C255" s="90" t="s">
        <v>277</v>
      </c>
      <c r="D255" s="89" t="s">
        <v>165</v>
      </c>
    </row>
    <row r="256" spans="2:4" ht="12.75" hidden="1" outlineLevel="1">
      <c r="B256" s="91" t="s">
        <v>150</v>
      </c>
      <c r="C256" s="90" t="s">
        <v>278</v>
      </c>
      <c r="D256" s="89" t="s">
        <v>165</v>
      </c>
    </row>
    <row r="257" spans="2:4" ht="12.75" hidden="1" outlineLevel="1">
      <c r="B257" s="91" t="s">
        <v>155</v>
      </c>
      <c r="C257" s="90" t="s">
        <v>279</v>
      </c>
      <c r="D257" s="89" t="s">
        <v>165</v>
      </c>
    </row>
    <row r="258" spans="2:4" ht="12.75" hidden="1" outlineLevel="1">
      <c r="B258" s="91" t="s">
        <v>337</v>
      </c>
      <c r="C258" s="90" t="s">
        <v>553</v>
      </c>
      <c r="D258" s="89" t="s">
        <v>165</v>
      </c>
    </row>
    <row r="259" spans="2:4" ht="12.75" hidden="1" outlineLevel="1">
      <c r="B259" s="91" t="s">
        <v>156</v>
      </c>
      <c r="C259" s="90" t="s">
        <v>288</v>
      </c>
      <c r="D259" s="89" t="s">
        <v>165</v>
      </c>
    </row>
    <row r="260" spans="2:4" ht="12.75" hidden="1" outlineLevel="1">
      <c r="B260" s="91" t="s">
        <v>154</v>
      </c>
      <c r="C260" s="90" t="s">
        <v>342</v>
      </c>
      <c r="D260" s="89" t="s">
        <v>178</v>
      </c>
    </row>
    <row r="261" spans="2:4" ht="12.75" hidden="1" outlineLevel="1">
      <c r="B261" s="91" t="s">
        <v>155</v>
      </c>
      <c r="C261" s="90" t="s">
        <v>351</v>
      </c>
      <c r="D261" s="89" t="s">
        <v>166</v>
      </c>
    </row>
    <row r="262" ht="12.75" collapsed="1">
      <c r="B262" s="91"/>
    </row>
    <row r="263" s="107" customFormat="1" ht="12.75">
      <c r="B263" s="246" t="str">
        <f>CONCATENATE("Completely different compared to now  =  ",COUNTIF(D232:D261,"Completely different compared to now"),CONCATENATE("   (",TEXT(COUNTIF(D232:D261,"Completely different compared to now")/ROWS(D232:D261),"#%"),")"))</f>
        <v>Completely different compared to now  =  2   (7%)</v>
      </c>
    </row>
    <row r="264" s="107" customFormat="1" ht="12.75">
      <c r="B264" s="246" t="str">
        <f>CONCATENATE("Very different compared to now               =  ",COUNTIF(D232:D261,"Very different compared to now"),CONCATENATE("   (",TEXT(COUNTIF(D232:D261,"Very different compared to now")/ROWS(D232:D261),"#%"),")"))</f>
        <v>Very different compared to now               =  8   (27%)</v>
      </c>
    </row>
    <row r="265" s="107" customFormat="1" ht="12.75">
      <c r="B265" s="246" t="str">
        <f>CONCATENATE("Somewhat different compared to now   =   ",COUNTIF(D232:D261,"Somewhat different compared to now"),CONCATENATE("  (",TEXT(COUNTIF(D232:D261,"Somewhat different compared to now")/ROWS(D232:D261),"#%"),")"))</f>
        <v>Somewhat different compared to now   =   18  (60%)</v>
      </c>
    </row>
    <row r="266" s="107" customFormat="1" ht="12.75">
      <c r="B266" s="246" t="str">
        <f>CONCATENATE("Not at all different compared to now       =  ",COUNTIF(D232:D261,"Not at all different compared to now"),CONCATENATE("   (",TEXT(COUNTIF(D232:D261,"Not at all different compared to now")/ROWS(D232:D261),"#%"),")"))</f>
        <v>Not at all different compared to now       =  1   (3%)</v>
      </c>
    </row>
    <row r="267" s="107" customFormat="1" ht="12.75">
      <c r="B267" s="246"/>
    </row>
    <row r="268" spans="1:13" s="107" customFormat="1" ht="12.75">
      <c r="A268" s="101"/>
      <c r="C268" s="139" t="s">
        <v>1323</v>
      </c>
      <c r="G268" s="266"/>
      <c r="H268" s="266"/>
      <c r="I268" s="266">
        <v>2011</v>
      </c>
      <c r="J268" s="266">
        <v>2014</v>
      </c>
      <c r="K268" s="266"/>
      <c r="L268" s="266"/>
      <c r="M268" s="266"/>
    </row>
    <row r="269" spans="1:13" ht="12.75" hidden="1" outlineLevel="1">
      <c r="A269" s="95"/>
      <c r="C269" s="106">
        <v>2011</v>
      </c>
      <c r="D269" s="106">
        <v>2014</v>
      </c>
      <c r="E269" s="278" t="s">
        <v>1322</v>
      </c>
      <c r="F269" s="278"/>
      <c r="G269" s="262"/>
      <c r="H269" s="262" t="s">
        <v>1569</v>
      </c>
      <c r="I269" s="262" t="s">
        <v>1511</v>
      </c>
      <c r="J269" s="262">
        <v>20.11</v>
      </c>
      <c r="K269" s="262">
        <v>20.14</v>
      </c>
      <c r="L269" s="262" t="s">
        <v>1570</v>
      </c>
      <c r="M269" s="262" t="s">
        <v>1571</v>
      </c>
    </row>
    <row r="270" spans="1:13" ht="12.75" hidden="1" outlineLevel="1">
      <c r="A270" s="95"/>
      <c r="C270" s="147" t="s">
        <v>1083</v>
      </c>
      <c r="D270" s="147" t="s">
        <v>1619</v>
      </c>
      <c r="E270" s="189" t="s">
        <v>1083</v>
      </c>
      <c r="F270" s="106"/>
      <c r="G270" s="262" t="s">
        <v>1555</v>
      </c>
      <c r="H270" s="262" t="s">
        <v>1083</v>
      </c>
      <c r="I270" s="262">
        <v>2</v>
      </c>
      <c r="J270" s="262" t="e">
        <f>H270/$L$270</f>
        <v>#VALUE!</v>
      </c>
      <c r="K270" s="262">
        <f>I270/$M$270</f>
        <v>0.06666666666666667</v>
      </c>
      <c r="L270" s="262">
        <v>27</v>
      </c>
      <c r="M270" s="262">
        <v>30</v>
      </c>
    </row>
    <row r="271" spans="1:13" ht="12.75" hidden="1" outlineLevel="1">
      <c r="A271" s="95"/>
      <c r="C271" s="147" t="s">
        <v>1564</v>
      </c>
      <c r="D271" s="147" t="s">
        <v>1620</v>
      </c>
      <c r="E271" s="256">
        <f>K271-J271</f>
        <v>0.007407407407407418</v>
      </c>
      <c r="F271" s="147"/>
      <c r="G271" s="262" t="s">
        <v>1557</v>
      </c>
      <c r="H271" s="262">
        <v>7</v>
      </c>
      <c r="I271" s="262">
        <v>8</v>
      </c>
      <c r="J271" s="262">
        <f>H271/$L$270</f>
        <v>0.25925925925925924</v>
      </c>
      <c r="K271" s="262">
        <f>I271/$M$270</f>
        <v>0.26666666666666666</v>
      </c>
      <c r="L271" s="262"/>
      <c r="M271" s="262"/>
    </row>
    <row r="272" spans="1:13" ht="12.75" hidden="1" outlineLevel="1">
      <c r="A272" s="95"/>
      <c r="C272" s="147" t="s">
        <v>1565</v>
      </c>
      <c r="D272" s="147" t="s">
        <v>1621</v>
      </c>
      <c r="E272" s="189">
        <f>K272-J272</f>
        <v>0.007407407407407418</v>
      </c>
      <c r="F272" s="147"/>
      <c r="G272" s="262" t="s">
        <v>1556</v>
      </c>
      <c r="H272" s="262">
        <v>16</v>
      </c>
      <c r="I272" s="262">
        <v>18</v>
      </c>
      <c r="J272" s="262">
        <f>H272/$L$270</f>
        <v>0.5925925925925926</v>
      </c>
      <c r="K272" s="262">
        <f>I272/$M$270</f>
        <v>0.6</v>
      </c>
      <c r="L272" s="262"/>
      <c r="M272" s="262"/>
    </row>
    <row r="273" spans="1:13" ht="12.75" hidden="1" outlineLevel="1">
      <c r="A273" s="95"/>
      <c r="C273" s="147" t="s">
        <v>1543</v>
      </c>
      <c r="D273" s="147" t="s">
        <v>1544</v>
      </c>
      <c r="E273" s="189">
        <f>K273-J273</f>
        <v>-0.04074074074074074</v>
      </c>
      <c r="F273" s="147"/>
      <c r="G273" s="262" t="s">
        <v>1558</v>
      </c>
      <c r="H273" s="262">
        <v>2</v>
      </c>
      <c r="I273" s="262">
        <v>1</v>
      </c>
      <c r="J273" s="262">
        <f>H273/$L$270</f>
        <v>0.07407407407407407</v>
      </c>
      <c r="K273" s="262">
        <f>I273/$M$270</f>
        <v>0.03333333333333333</v>
      </c>
      <c r="L273" s="262"/>
      <c r="M273" s="262"/>
    </row>
    <row r="274" ht="12.75" collapsed="1"/>
    <row r="275" spans="1:2" s="112" customFormat="1" ht="15.75" customHeight="1">
      <c r="A275" s="111">
        <v>7</v>
      </c>
      <c r="B275" s="112" t="s">
        <v>157</v>
      </c>
    </row>
    <row r="276" spans="2:4" s="130" customFormat="1" ht="12.75" hidden="1" outlineLevel="1">
      <c r="B276" s="185" t="s">
        <v>324</v>
      </c>
      <c r="C276" s="185" t="s">
        <v>189</v>
      </c>
      <c r="D276" s="130" t="s">
        <v>1487</v>
      </c>
    </row>
    <row r="277" spans="2:4" ht="12.75" hidden="1" outlineLevel="1">
      <c r="B277" s="91" t="s">
        <v>144</v>
      </c>
      <c r="C277" s="90" t="s">
        <v>438</v>
      </c>
      <c r="D277" s="89" t="s">
        <v>308</v>
      </c>
    </row>
    <row r="278" spans="2:4" ht="12.75" hidden="1" outlineLevel="1">
      <c r="B278" s="91" t="s">
        <v>140</v>
      </c>
      <c r="C278" s="90" t="s">
        <v>341</v>
      </c>
      <c r="D278" s="89" t="s">
        <v>176</v>
      </c>
    </row>
    <row r="279" spans="2:4" ht="12.75" hidden="1" outlineLevel="1">
      <c r="B279" s="91" t="s">
        <v>332</v>
      </c>
      <c r="C279" s="90" t="s">
        <v>286</v>
      </c>
      <c r="D279" s="89" t="s">
        <v>176</v>
      </c>
    </row>
    <row r="280" spans="2:4" ht="12.75" hidden="1" outlineLevel="1">
      <c r="B280" s="91" t="s">
        <v>146</v>
      </c>
      <c r="C280" s="90" t="s">
        <v>550</v>
      </c>
      <c r="D280" s="89" t="s">
        <v>176</v>
      </c>
    </row>
    <row r="281" spans="2:4" ht="12.75" hidden="1" outlineLevel="1">
      <c r="B281" s="91" t="s">
        <v>143</v>
      </c>
      <c r="C281" s="90" t="s">
        <v>437</v>
      </c>
      <c r="D281" s="89" t="s">
        <v>176</v>
      </c>
    </row>
    <row r="282" spans="2:4" ht="12.75" hidden="1" outlineLevel="1">
      <c r="B282" s="91" t="s">
        <v>153</v>
      </c>
      <c r="C282" s="90" t="s">
        <v>444</v>
      </c>
      <c r="D282" s="89" t="s">
        <v>176</v>
      </c>
    </row>
    <row r="283" spans="2:4" ht="12.75" hidden="1" outlineLevel="1">
      <c r="B283" s="91" t="s">
        <v>153</v>
      </c>
      <c r="C283" s="90" t="s">
        <v>446</v>
      </c>
      <c r="D283" s="89" t="s">
        <v>176</v>
      </c>
    </row>
    <row r="284" spans="2:4" ht="12.75" hidden="1" outlineLevel="1">
      <c r="B284" s="91" t="s">
        <v>139</v>
      </c>
      <c r="C284" s="90" t="s">
        <v>551</v>
      </c>
      <c r="D284" s="89" t="s">
        <v>176</v>
      </c>
    </row>
    <row r="285" spans="2:4" ht="12.75" hidden="1" outlineLevel="1">
      <c r="B285" s="91" t="s">
        <v>148</v>
      </c>
      <c r="C285" s="90" t="s">
        <v>552</v>
      </c>
      <c r="D285" s="89" t="s">
        <v>176</v>
      </c>
    </row>
    <row r="286" spans="2:4" ht="12.75" hidden="1" outlineLevel="1">
      <c r="B286" s="91" t="s">
        <v>336</v>
      </c>
      <c r="C286" s="90" t="s">
        <v>281</v>
      </c>
      <c r="D286" s="89" t="s">
        <v>176</v>
      </c>
    </row>
    <row r="287" spans="2:4" ht="12.75" hidden="1" outlineLevel="1">
      <c r="B287" s="91" t="s">
        <v>334</v>
      </c>
      <c r="C287" s="90" t="s">
        <v>350</v>
      </c>
      <c r="D287" s="89" t="s">
        <v>176</v>
      </c>
    </row>
    <row r="288" spans="2:4" ht="12.75" hidden="1" outlineLevel="1">
      <c r="B288" s="91" t="s">
        <v>145</v>
      </c>
      <c r="C288" s="90" t="s">
        <v>439</v>
      </c>
      <c r="D288" s="89" t="s">
        <v>176</v>
      </c>
    </row>
    <row r="289" spans="2:7" ht="12.75" hidden="1" outlineLevel="1">
      <c r="B289" s="91" t="s">
        <v>335</v>
      </c>
      <c r="C289" s="90" t="s">
        <v>283</v>
      </c>
      <c r="D289" s="89" t="s">
        <v>176</v>
      </c>
      <c r="G289" s="262"/>
    </row>
    <row r="290" spans="2:4" ht="12.75" hidden="1" outlineLevel="1">
      <c r="B290" s="91" t="s">
        <v>152</v>
      </c>
      <c r="C290" s="90" t="s">
        <v>408</v>
      </c>
      <c r="D290" s="89" t="s">
        <v>176</v>
      </c>
    </row>
    <row r="291" spans="2:4" ht="12.75" hidden="1" outlineLevel="1">
      <c r="B291" s="91" t="s">
        <v>150</v>
      </c>
      <c r="C291" s="90" t="s">
        <v>278</v>
      </c>
      <c r="D291" s="89" t="s">
        <v>176</v>
      </c>
    </row>
    <row r="292" spans="2:4" ht="12.75" hidden="1" outlineLevel="1">
      <c r="B292" s="91" t="s">
        <v>151</v>
      </c>
      <c r="C292" s="90" t="s">
        <v>282</v>
      </c>
      <c r="D292" s="89" t="s">
        <v>176</v>
      </c>
    </row>
    <row r="293" spans="2:4" ht="12.75" hidden="1" outlineLevel="1">
      <c r="B293" s="91" t="s">
        <v>156</v>
      </c>
      <c r="C293" s="90" t="s">
        <v>288</v>
      </c>
      <c r="D293" s="89" t="s">
        <v>176</v>
      </c>
    </row>
    <row r="294" spans="2:4" ht="12.75" hidden="1" outlineLevel="1">
      <c r="B294" s="91" t="s">
        <v>332</v>
      </c>
      <c r="C294" s="90" t="s">
        <v>554</v>
      </c>
      <c r="D294" s="89" t="s">
        <v>167</v>
      </c>
    </row>
    <row r="295" spans="2:4" ht="12.75" hidden="1" outlineLevel="1">
      <c r="B295" s="91" t="s">
        <v>332</v>
      </c>
      <c r="C295" s="90" t="s">
        <v>436</v>
      </c>
      <c r="D295" s="89" t="s">
        <v>167</v>
      </c>
    </row>
    <row r="296" spans="2:4" ht="12.75" hidden="1" outlineLevel="1">
      <c r="B296" s="91" t="s">
        <v>141</v>
      </c>
      <c r="C296" s="90" t="s">
        <v>445</v>
      </c>
      <c r="D296" s="89" t="s">
        <v>167</v>
      </c>
    </row>
    <row r="297" spans="2:4" ht="12.75" hidden="1" outlineLevel="1">
      <c r="B297" s="91" t="s">
        <v>154</v>
      </c>
      <c r="C297" s="90" t="s">
        <v>352</v>
      </c>
      <c r="D297" s="89" t="s">
        <v>167</v>
      </c>
    </row>
    <row r="298" spans="2:4" ht="12.75" hidden="1" outlineLevel="1">
      <c r="B298" s="91" t="s">
        <v>154</v>
      </c>
      <c r="C298" s="90" t="s">
        <v>342</v>
      </c>
      <c r="D298" s="89" t="s">
        <v>167</v>
      </c>
    </row>
    <row r="299" spans="2:4" ht="12.75" hidden="1" outlineLevel="1">
      <c r="B299" s="91" t="s">
        <v>149</v>
      </c>
      <c r="C299" s="90" t="s">
        <v>277</v>
      </c>
      <c r="D299" s="89" t="s">
        <v>167</v>
      </c>
    </row>
    <row r="300" spans="2:4" ht="12.75" hidden="1" outlineLevel="1">
      <c r="B300" s="91" t="s">
        <v>155</v>
      </c>
      <c r="C300" s="90" t="s">
        <v>279</v>
      </c>
      <c r="D300" s="89" t="s">
        <v>167</v>
      </c>
    </row>
    <row r="301" spans="2:4" ht="12.75" hidden="1" outlineLevel="1">
      <c r="B301" s="91" t="s">
        <v>146</v>
      </c>
      <c r="C301" s="90" t="s">
        <v>349</v>
      </c>
      <c r="D301" s="89" t="s">
        <v>1671</v>
      </c>
    </row>
    <row r="302" spans="2:4" ht="12.75" hidden="1" outlineLevel="1">
      <c r="B302" s="91" t="s">
        <v>142</v>
      </c>
      <c r="C302" s="90" t="s">
        <v>343</v>
      </c>
      <c r="D302" s="89" t="s">
        <v>180</v>
      </c>
    </row>
    <row r="303" spans="2:4" ht="12.75" hidden="1" outlineLevel="1">
      <c r="B303" s="91" t="s">
        <v>143</v>
      </c>
      <c r="C303" s="90" t="s">
        <v>287</v>
      </c>
      <c r="D303" s="89" t="s">
        <v>180</v>
      </c>
    </row>
    <row r="304" spans="2:4" ht="12.75" hidden="1" outlineLevel="1">
      <c r="B304" s="91" t="s">
        <v>337</v>
      </c>
      <c r="C304" s="90" t="s">
        <v>553</v>
      </c>
      <c r="D304" s="89" t="s">
        <v>180</v>
      </c>
    </row>
    <row r="305" spans="2:4" ht="12.75" hidden="1" outlineLevel="1">
      <c r="B305" s="91" t="s">
        <v>155</v>
      </c>
      <c r="C305" s="90" t="s">
        <v>351</v>
      </c>
      <c r="D305" s="89" t="s">
        <v>166</v>
      </c>
    </row>
    <row r="306" spans="2:4" ht="12.75" hidden="1" outlineLevel="1">
      <c r="B306" s="91" t="s">
        <v>147</v>
      </c>
      <c r="C306" s="90" t="s">
        <v>353</v>
      </c>
      <c r="D306" s="89" t="s">
        <v>166</v>
      </c>
    </row>
    <row r="307" ht="12.75" collapsed="1">
      <c r="B307" s="91"/>
    </row>
    <row r="308" s="107" customFormat="1" ht="12.75">
      <c r="B308" s="246" t="str">
        <f>CONCATENATE("Much larger =  ",COUNTIF(D277:D306,"Much larger"),CONCATENATE("   (",TEXT(COUNTIF(D277:D306,"Much larger")/ROWS(D277:D306),"#%"),")"))</f>
        <v>Much larger =  1   (3%)</v>
      </c>
    </row>
    <row r="309" s="107" customFormat="1" ht="12.75">
      <c r="B309" s="246" t="str">
        <f>CONCATENATE("Somewhat larger =  ",COUNTIF(D277:D306,"Somewhat larger"),CONCATENATE("   (",TEXT(COUNTIF(D277:D306,"Somewhat larger")/ROWS(D277:D306),"#%"),")"))</f>
        <v>Somewhat larger =  17   (57%)</v>
      </c>
    </row>
    <row r="310" s="107" customFormat="1" ht="12.75">
      <c r="B310" s="246" t="str">
        <f>CONCATENATE("The same size =   ",COUNTIF(D277:D306,"The same size"),CONCATENATE("  (",TEXT(COUNTIF(D277:D306,"The same size")/ROWS(D277:D306),"#%"),")"))</f>
        <v>The same size =   7  (23%)</v>
      </c>
    </row>
    <row r="311" s="107" customFormat="1" ht="12.75">
      <c r="B311" s="246" t="str">
        <f>CONCATENATE("Somewhat smaller =  ",COUNTIF(D277:D306,"Somewhat smaller"),CONCATENATE("   (",TEXT(COUNTIF(D277:D306,"Somewhat smaller")/ROWS(D277:D306),"#%"),")"))</f>
        <v>Somewhat smaller =  3   (10%)</v>
      </c>
    </row>
    <row r="312" s="107" customFormat="1" ht="12.75">
      <c r="B312" s="246" t="str">
        <f>CONCATENATE("Not sure =  ",COUNTIF(D277:D306,"Not sure"),CONCATENATE("   (",TEXT(COUNTIF(D277:D306,"Not sure")/ROWS(D277:D306),"#%"),")"))</f>
        <v>Not sure =  2   (7%)</v>
      </c>
    </row>
    <row r="313" s="107" customFormat="1" ht="12.75">
      <c r="B313" s="246"/>
    </row>
    <row r="314" spans="1:13" s="107" customFormat="1" ht="12.75">
      <c r="A314" s="101"/>
      <c r="C314" s="139" t="s">
        <v>1323</v>
      </c>
      <c r="G314" s="133"/>
      <c r="H314" s="133"/>
      <c r="I314" s="133">
        <v>2011</v>
      </c>
      <c r="J314" s="133">
        <v>2014</v>
      </c>
      <c r="K314" s="133"/>
      <c r="L314" s="133"/>
      <c r="M314" s="133"/>
    </row>
    <row r="315" spans="1:13" ht="12.75" hidden="1" outlineLevel="1">
      <c r="A315" s="95"/>
      <c r="C315" s="106">
        <v>2011</v>
      </c>
      <c r="D315" s="106">
        <v>2014</v>
      </c>
      <c r="E315" s="278" t="s">
        <v>1322</v>
      </c>
      <c r="F315" s="278"/>
      <c r="G315" s="96"/>
      <c r="H315" s="96" t="s">
        <v>1569</v>
      </c>
      <c r="I315" s="96" t="s">
        <v>1511</v>
      </c>
      <c r="J315" s="97">
        <v>20.11</v>
      </c>
      <c r="K315" s="97">
        <v>20.14</v>
      </c>
      <c r="L315" s="96" t="s">
        <v>1570</v>
      </c>
      <c r="M315" s="96" t="s">
        <v>1571</v>
      </c>
    </row>
    <row r="316" spans="1:13" ht="12.75" hidden="1" outlineLevel="1">
      <c r="A316" s="95"/>
      <c r="C316" s="147" t="s">
        <v>1545</v>
      </c>
      <c r="D316" s="147" t="s">
        <v>1545</v>
      </c>
      <c r="E316" s="189">
        <f>K316-J316</f>
        <v>-0.07777777777777778</v>
      </c>
      <c r="F316" s="147"/>
      <c r="G316" s="262" t="s">
        <v>308</v>
      </c>
      <c r="H316" s="96">
        <v>3</v>
      </c>
      <c r="I316" s="96">
        <v>1</v>
      </c>
      <c r="J316" s="96">
        <f>H316/$L$316</f>
        <v>0.1111111111111111</v>
      </c>
      <c r="K316" s="96">
        <f>I316/$M$316</f>
        <v>0.03333333333333333</v>
      </c>
      <c r="L316" s="96">
        <v>27</v>
      </c>
      <c r="M316" s="96">
        <v>30</v>
      </c>
    </row>
    <row r="317" spans="1:13" ht="12.75" hidden="1" outlineLevel="1">
      <c r="A317" s="95"/>
      <c r="C317" s="147" t="s">
        <v>1546</v>
      </c>
      <c r="D317" s="147" t="s">
        <v>1622</v>
      </c>
      <c r="E317" s="189">
        <f>K317-J317</f>
        <v>0.0888888888888889</v>
      </c>
      <c r="F317" s="147"/>
      <c r="G317" s="262" t="s">
        <v>176</v>
      </c>
      <c r="H317" s="96">
        <v>12</v>
      </c>
      <c r="I317" s="96">
        <v>16</v>
      </c>
      <c r="J317" s="96">
        <f>H317/$L$316</f>
        <v>0.4444444444444444</v>
      </c>
      <c r="K317" s="96">
        <f>I317/$M$316</f>
        <v>0.5333333333333333</v>
      </c>
      <c r="L317" s="96"/>
      <c r="M317" s="96"/>
    </row>
    <row r="318" spans="1:13" ht="12.75" hidden="1" outlineLevel="1">
      <c r="A318" s="95"/>
      <c r="C318" s="147" t="s">
        <v>1547</v>
      </c>
      <c r="D318" s="147" t="s">
        <v>1547</v>
      </c>
      <c r="E318" s="189">
        <f>K318-J318</f>
        <v>-0.025925925925925908</v>
      </c>
      <c r="F318" s="147"/>
      <c r="G318" s="262" t="s">
        <v>167</v>
      </c>
      <c r="H318" s="96">
        <v>7</v>
      </c>
      <c r="I318" s="96">
        <v>7</v>
      </c>
      <c r="J318" s="96">
        <f>H318/$L$316</f>
        <v>0.25925925925925924</v>
      </c>
      <c r="K318" s="96">
        <f>I318/$M$316</f>
        <v>0.23333333333333334</v>
      </c>
      <c r="L318" s="96"/>
      <c r="M318" s="96"/>
    </row>
    <row r="319" spans="1:13" ht="12.75" hidden="1" outlineLevel="1">
      <c r="A319" s="95"/>
      <c r="C319" s="147" t="s">
        <v>1549</v>
      </c>
      <c r="D319" s="147" t="s">
        <v>1549</v>
      </c>
      <c r="E319" s="189">
        <f>K319-J319</f>
        <v>0.0962962962962963</v>
      </c>
      <c r="F319" s="147"/>
      <c r="G319" s="262" t="s">
        <v>180</v>
      </c>
      <c r="H319" s="96">
        <v>1</v>
      </c>
      <c r="I319" s="96">
        <v>4</v>
      </c>
      <c r="J319" s="96">
        <f>H319/$L$316</f>
        <v>0.037037037037037035</v>
      </c>
      <c r="K319" s="96">
        <f>I319/$M$316</f>
        <v>0.13333333333333333</v>
      </c>
      <c r="L319" s="96"/>
      <c r="M319" s="96"/>
    </row>
    <row r="320" spans="3:13" ht="12.75" hidden="1" outlineLevel="1">
      <c r="C320" s="147" t="s">
        <v>1548</v>
      </c>
      <c r="D320" s="147" t="s">
        <v>1550</v>
      </c>
      <c r="E320" s="189">
        <f>K320-J320</f>
        <v>-0.08148148148148147</v>
      </c>
      <c r="F320" s="147"/>
      <c r="G320" s="96" t="s">
        <v>166</v>
      </c>
      <c r="H320" s="96">
        <v>4</v>
      </c>
      <c r="I320" s="96">
        <v>2</v>
      </c>
      <c r="J320" s="96">
        <f>H320/$L$316</f>
        <v>0.14814814814814814</v>
      </c>
      <c r="K320" s="96">
        <f>I320/$M$316</f>
        <v>0.06666666666666667</v>
      </c>
      <c r="L320" s="96"/>
      <c r="M320" s="96"/>
    </row>
    <row r="321" ht="12.75" collapsed="1"/>
    <row r="414" ht="12.75"/>
    <row r="415" ht="12.75"/>
    <row r="416" ht="12.75"/>
    <row r="454" ht="12.75"/>
    <row r="455" ht="12.75"/>
    <row r="457" ht="12.75"/>
    <row r="458" ht="12.75"/>
    <row r="495" ht="12.75"/>
    <row r="496" ht="12.75"/>
    <row r="497" ht="12.75"/>
    <row r="499" ht="12.75"/>
  </sheetData>
  <sheetProtection/>
  <mergeCells count="7">
    <mergeCell ref="E315:F315"/>
    <mergeCell ref="E49:F49"/>
    <mergeCell ref="E93:F93"/>
    <mergeCell ref="E137:F137"/>
    <mergeCell ref="E181:F181"/>
    <mergeCell ref="E224:F224"/>
    <mergeCell ref="E269:F269"/>
  </mergeCells>
  <printOptions/>
  <pageMargins left="0.7" right="0.7" top="0.75" bottom="0.75" header="0.3" footer="0.3"/>
  <pageSetup fitToHeight="0" fitToWidth="1" horizontalDpi="600" verticalDpi="600" orientation="portrait" scale="85"/>
  <headerFooter alignWithMargins="0">
    <oddFooter>&amp;C&amp;P</oddFooter>
  </headerFooter>
  <rowBreaks count="2" manualBreakCount="2">
    <brk id="184" max="255" man="1"/>
    <brk id="22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dc:creator>
  <cp:keywords/>
  <dc:description/>
  <cp:lastModifiedBy>NACEDA</cp:lastModifiedBy>
  <cp:lastPrinted>2011-11-28T02:35:39Z</cp:lastPrinted>
  <dcterms:created xsi:type="dcterms:W3CDTF">2011-08-29T22:14:07Z</dcterms:created>
  <dcterms:modified xsi:type="dcterms:W3CDTF">2015-06-17T21:32:30Z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